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umptions" sheetId="1" state="visible" r:id="rId3"/>
    <sheet name="Model" sheetId="2" state="visible" r:id="rId4"/>
    <sheet name="Returns" sheetId="3" state="visible" r:id="rId5"/>
    <sheet name="CapTable" sheetId="4" state="visible" r:id="rId6"/>
    <sheet name="Not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Model</author>
  </authors>
  <commentList>
    <comment ref="C5" authorId="0">
      <text>
        <r>
          <rPr>
            <sz val="10"/>
            <rFont val="Arial"/>
            <family val="2"/>
          </rPr>
          <t xml:space="preserve">User assumption. Original model used 36.36 (Jul 2024).</t>
        </r>
      </text>
    </comment>
    <comment ref="C6" authorId="0">
      <text>
        <r>
          <rPr>
            <sz val="10"/>
            <rFont val="Arial"/>
            <family val="2"/>
          </rPr>
          <t xml:space="preserve">Y0 = today (Oct 2026). Y1 = first full operating year of the 4 finished houses.</t>
        </r>
      </text>
    </comment>
    <comment ref="C7" authorId="0">
      <text>
        <r>
          <rPr>
            <sz val="10"/>
            <rFont val="Arial"/>
            <family val="2"/>
          </rPr>
          <t xml:space="preserve">From Nestor: first 4 houses finished.</t>
        </r>
      </text>
    </comment>
    <comment ref="C8" authorId="0">
      <text>
        <r>
          <rPr>
            <sz val="10"/>
            <rFont val="Arial"/>
            <family val="2"/>
          </rPr>
          <t xml:space="preserve">From Nestor: ~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30M spent on the first 4 houses.</t>
        </r>
      </text>
    </comment>
    <comment ref="C9" authorId="0">
      <text>
        <r>
          <rPr>
            <sz val="10"/>
            <rFont val="Arial"/>
            <family val="2"/>
          </rPr>
          <t xml:space="preserve">From Nestor: ~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3M left. Assumed to be the balance AFTER the 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9.0M restructuring round closes.</t>
        </r>
      </text>
    </comment>
    <comment ref="C10" authorId="0">
      <text>
        <r>
          <rPr>
            <sz val="10"/>
            <rFont val="Arial"/>
            <family val="2"/>
          </rPr>
          <t xml:space="preserve">From Nestor: the land supports 14 houses (4 built + 10 more).</t>
        </r>
      </text>
    </comment>
    <comment ref="C11" authorId="0">
      <text>
        <r>
          <rPr>
            <sz val="10"/>
            <rFont val="Arial"/>
            <family val="2"/>
          </rPr>
          <t xml:space="preserve">From Nestor: current estimate 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6.5M per house.</t>
        </r>
      </text>
    </comment>
    <comment ref="C12" authorId="0">
      <text>
        <r>
          <rPr>
            <sz val="10"/>
            <rFont val="Arial"/>
            <family val="2"/>
          </rPr>
          <t xml:space="preserve">From Nestor: 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25M facility from a bank or a private lender, drawn pro-rata to capex from the year it is available.</t>
        </r>
      </text>
    </comment>
    <comment ref="C13" authorId="0">
      <text>
        <r>
          <rPr>
            <sz val="10"/>
            <rFont val="Arial"/>
            <family val="2"/>
          </rPr>
          <t xml:space="preserve">Interest-only while building (2027–2029); 10-year annuity from 2030 (Y4).</t>
        </r>
      </text>
    </comment>
    <comment ref="C14" authorId="0">
      <text>
        <r>
          <rPr>
            <sz val="10"/>
            <rFont val="Arial"/>
            <family val="2"/>
          </rPr>
          <t xml:space="preserve">1.0 = capex paid in the year the houses are completed; houses earn from the following year.</t>
        </r>
      </text>
    </comment>
    <comment ref="C15" authorId="0">
      <text>
        <r>
          <rPr>
            <sz val="10"/>
            <rFont val="Arial"/>
            <family val="2"/>
          </rPr>
          <t xml:space="preserve">From Nestor: realistically no bank or private loan before early 2028 (Y2). Capex before that is funded by proceeds and equity.</t>
        </r>
      </text>
    </comment>
    <comment ref="C18" authorId="0">
      <text>
        <r>
          <rPr>
            <sz val="10"/>
            <rFont val="Arial"/>
            <family val="2"/>
          </rPr>
          <t xml:space="preserve">From Nestor: 8% (bank or private lender). Check against the term sheet.</t>
        </r>
      </text>
    </comment>
    <comment ref="C20" authorId="0">
      <text>
        <r>
          <rPr>
            <sz val="10"/>
            <rFont val="Arial"/>
            <family val="2"/>
          </rPr>
          <t xml:space="preserve">Equal annual annuity payments.</t>
        </r>
      </text>
    </comment>
    <comment ref="C21" authorId="0">
      <text>
        <r>
          <rPr>
            <sz val="10"/>
            <rFont val="Arial"/>
            <family val="2"/>
          </rPr>
          <t xml:space="preserve">From original model (10%).</t>
        </r>
      </text>
    </comment>
    <comment ref="C22" authorId="0">
      <text>
        <r>
          <rPr>
            <sz val="10"/>
            <rFont val="Arial"/>
            <family val="2"/>
          </rPr>
          <t xml:space="preserve">From Nestor: 10% of revenue to the management company.</t>
        </r>
      </text>
    </comment>
    <comment ref="C23" authorId="0">
      <text>
        <r>
          <rPr>
            <sz val="10"/>
            <rFont val="Arial"/>
            <family val="2"/>
          </rPr>
          <t xml:space="preserve">From Nestor: 80–90%. Base case 85%; capped by cash available above the minimum balance.</t>
        </r>
      </text>
    </comment>
    <comment ref="C24" authorId="0">
      <text>
        <r>
          <rPr>
            <sz val="10"/>
            <rFont val="Arial"/>
            <family val="2"/>
          </rPr>
          <t xml:space="preserve">Working-capital floor kept in the company.</t>
        </r>
      </text>
    </comment>
    <comment ref="C25" authorId="0">
      <text>
        <r>
          <rPr>
            <sz val="10"/>
            <rFont val="Arial"/>
            <family val="2"/>
          </rPr>
          <t xml:space="preserve">Thai CIT headline 20%. Simplified: no loss carry-forward, no SME step rates.</t>
        </r>
      </text>
    </comment>
    <comment ref="C26" authorId="0">
      <text>
        <r>
          <rPr>
            <sz val="10"/>
            <rFont val="Arial"/>
            <family val="2"/>
          </rPr>
          <t xml:space="preserve">Assumption: nightly rates grow 3%/yr from Y2.</t>
        </r>
      </text>
    </comment>
    <comment ref="C27" authorId="0">
      <text>
        <r>
          <rPr>
            <sz val="10"/>
            <rFont val="Arial"/>
            <family val="2"/>
          </rPr>
          <t xml:space="preserve">Assumption: opex inflates 3%/yr from Y2.</t>
        </r>
      </text>
    </comment>
    <comment ref="C28" authorId="0">
      <text>
        <r>
          <rPr>
            <sz val="10"/>
            <rFont val="Arial"/>
            <family val="2"/>
          </rPr>
          <t xml:space="preserve">Assumption: 3% of revenue set aside for furniture, pool, roof, AC replacement.</t>
        </r>
      </text>
    </comment>
    <comment ref="C29" authorId="0">
      <text>
        <r>
          <rPr>
            <sz val="10"/>
            <rFont val="Arial"/>
            <family val="2"/>
          </rPr>
          <t xml:space="preserve">Cash above this is returned as a special distribution once the loan is fully repaid (≈ one year of costs + land rent).</t>
        </r>
      </text>
    </comment>
    <comment ref="C31" authorId="0">
      <text>
        <r>
          <rPr>
            <sz val="10"/>
            <rFont val="Arial"/>
            <family val="2"/>
          </rPr>
          <t xml:space="preserve">From Nestor (9 Oct 2026): high season 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9–12k, mid 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6–9k, low 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5–6k per night. Midpoints used. Original 2024 model had USD 1,400/1,000/800 per week (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6.6k/4.7k/3.8k per night).</t>
        </r>
      </text>
    </comment>
    <comment ref="C35" authorId="0">
      <text>
        <r>
          <rPr>
            <sz val="10"/>
            <rFont val="Arial"/>
            <family val="2"/>
          </rPr>
          <t xml:space="preserve">From Nestor (Oct 2026): 2 houses already open, 2 more in Jan 2027, so 2027 starts at ~70% occupancy (36 wks), ramps to 80% by year 4 and holds ~81% (42 wks) from year 5. Original model ramped 40% → 92%.</t>
        </r>
      </text>
    </comment>
    <comment ref="C43" authorId="0">
      <text>
        <r>
          <rPr>
            <sz val="10"/>
            <rFont val="Arial"/>
            <family val="2"/>
          </rPr>
          <t xml:space="preserve">Original model: USD 2,000/unit/yr × FX.</t>
        </r>
      </text>
    </comment>
    <comment ref="C44" authorId="0">
      <text>
        <r>
          <rPr>
            <sz val="10"/>
            <rFont val="Arial"/>
            <family val="2"/>
          </rPr>
          <t xml:space="preserve">Original model: USD 800/unit/yr × FX.</t>
        </r>
      </text>
    </comment>
    <comment ref="C45" authorId="0">
      <text>
        <r>
          <rPr>
            <sz val="10"/>
            <rFont val="Arial"/>
            <family val="2"/>
          </rPr>
          <t xml:space="preserve">Original model: USD 1,500/unit/yr × FX.</t>
        </r>
      </text>
    </comment>
    <comment ref="C46" authorId="0">
      <text>
        <r>
          <rPr>
            <sz val="10"/>
            <rFont val="Arial"/>
            <family val="2"/>
          </rPr>
          <t xml:space="preserve">Assumption. Day-to-day management is covered by the 10% management fee.</t>
        </r>
      </text>
    </comment>
    <comment ref="C47" authorId="0">
      <text>
        <r>
          <rPr>
            <sz val="10"/>
            <rFont val="Arial"/>
            <family val="2"/>
          </rPr>
          <t xml:space="preserve">Original model: USD 8,000/yr × FX.</t>
        </r>
      </text>
    </comment>
    <comment ref="C51" authorId="0">
      <text>
        <r>
          <rPr>
            <sz val="10"/>
            <rFont val="Arial"/>
            <family val="2"/>
          </rPr>
          <t xml:space="preserve">Contract: 5,200 sqm, 30 years, 5% step every 3 years. Y1 here = 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408,000/yr. Shift the row if model Y1 is not contract Y1.</t>
        </r>
      </text>
    </comment>
    <comment ref="C56" authorId="0">
      <text>
        <r>
          <rPr>
            <sz val="10"/>
            <rFont val="Arial"/>
            <family val="2"/>
          </rPr>
          <t xml:space="preserve">= sunk cost + opening cash − new money. Assumption: total equity funding to date = 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33M.</t>
        </r>
      </text>
    </comment>
    <comment ref="C57" authorId="0">
      <text>
        <r>
          <rPr>
            <sz val="10"/>
            <rFont val="Arial"/>
            <family val="2"/>
          </rPr>
          <t xml:space="preserve">From Nestor: 2 houses opened Oct 2026; 2 more ready Jan 2027.</t>
        </r>
      </text>
    </comment>
    <comment ref="C58" authorId="0">
      <text>
        <r>
          <rPr>
            <sz val="10"/>
            <rFont val="Arial"/>
            <family val="2"/>
          </rPr>
          <t xml:space="preserve">Oct–Dec 2026 = one quarter. Y0 revenue, costs and land rent are scaled by this.</t>
        </r>
      </text>
    </comment>
    <comment ref="C64" authorId="0">
      <text>
        <r>
          <rPr>
            <sz val="10"/>
            <rFont val="Arial"/>
            <family val="2"/>
          </rPr>
          <t xml:space="preserve">From Nestor (9 Oct 2026): 2 houses open now; 4 from Jan 2027; 6 from Sep 2027; 10 from Jul 2028; 14 from May 2029. Capex is paid in the opening year.</t>
        </r>
      </text>
    </comment>
    <comment ref="C68" authorId="0">
      <text>
        <r>
          <rPr>
            <sz val="10"/>
            <rFont val="Arial"/>
            <family val="2"/>
          </rPr>
          <t xml:space="preserve">From Nestor: expansion financed 50% loan / 50% equity. </t>
        </r>
        <r>
          <rPr>
            <sz val="10"/>
            <rFont val="Noto Sans"/>
            <family val="2"/>
          </rPr>
          <t xml:space="preserve">฿</t>
        </r>
        <r>
          <rPr>
            <sz val="10"/>
            <rFont val="Arial"/>
            <family val="2"/>
          </rPr>
          <t xml:space="preserve">25M planned, timed to the builds. Any shortfall shows in Model as 'Equity top-up'.</t>
        </r>
      </text>
    </comment>
  </commentList>
</comments>
</file>

<file path=xl/sharedStrings.xml><?xml version="1.0" encoding="utf-8"?>
<sst xmlns="http://schemas.openxmlformats.org/spreadsheetml/2006/main" count="265" uniqueCount="229">
  <si>
    <t xml:space="preserve">Mira Wok Tum — 30-year model: assumptions</t>
  </si>
  <si>
    <t xml:space="preserve">Blue = input (edit). Black = formula. All money in THB unless stated.</t>
  </si>
  <si>
    <t xml:space="preserve">FX THB per USD</t>
  </si>
  <si>
    <t xml:space="preserve">First operating year (Y1)</t>
  </si>
  <si>
    <t xml:space="preserve">Phase 1 houses (built)</t>
  </si>
  <si>
    <t xml:space="preserve">Phase 1 cost sunk (THB)</t>
  </si>
  <si>
    <t xml:space="preserve">Opening cash after restructuring (THB)</t>
  </si>
  <si>
    <t xml:space="preserve">Total houses at full build-out</t>
  </si>
  <si>
    <t xml:space="preserve">Build cost per house (THB)</t>
  </si>
  <si>
    <t xml:space="preserve">Loan amount — bank or private (THB)</t>
  </si>
  <si>
    <t xml:space="preserve">Loan amortisation start (model year)</t>
  </si>
  <si>
    <t xml:space="preserve">Expansion capex timing: share paid in completion year</t>
  </si>
  <si>
    <t xml:space="preserve">First model year the loan is available</t>
  </si>
  <si>
    <t xml:space="preserve">Loan interest rate</t>
  </si>
  <si>
    <t xml:space="preserve">Loan amortisation term (years)</t>
  </si>
  <si>
    <t xml:space="preserve">Booking platform commission</t>
  </si>
  <si>
    <t xml:space="preserve">Management fee (% of gross revenue)</t>
  </si>
  <si>
    <t xml:space="preserve">Dividend payout (% of net profit)</t>
  </si>
  <si>
    <t xml:space="preserve">Minimum cash balance (THB)</t>
  </si>
  <si>
    <t xml:space="preserve">Corporate income tax</t>
  </si>
  <si>
    <t xml:space="preserve">Rate growth per year</t>
  </si>
  <si>
    <t xml:space="preserve">Cost inflation per year</t>
  </si>
  <si>
    <t xml:space="preserve">FF&amp;E / refurbishment reserve (% revenue)</t>
  </si>
  <si>
    <t xml:space="preserve">Maximum cash reserve once debt-free (THB)</t>
  </si>
  <si>
    <t xml:space="preserve">Nightly rates (THB, Y1 = 2027)</t>
  </si>
  <si>
    <t xml:space="preserve">High</t>
  </si>
  <si>
    <t xml:space="preserve">Mid</t>
  </si>
  <si>
    <t xml:space="preserve">Low</t>
  </si>
  <si>
    <t xml:space="preserve">THB per night</t>
  </si>
  <si>
    <t xml:space="preserve">THB per week (Y1)</t>
  </si>
  <si>
    <t xml:space="preserve">Occupancy ramp: weeks booked per house per year</t>
  </si>
  <si>
    <t xml:space="preserve">Total</t>
  </si>
  <si>
    <t xml:space="preserve">Y1</t>
  </si>
  <si>
    <t xml:space="preserve">Y2</t>
  </si>
  <si>
    <t xml:space="preserve">Y3</t>
  </si>
  <si>
    <t xml:space="preserve">Y4</t>
  </si>
  <si>
    <t xml:space="preserve">Y5</t>
  </si>
  <si>
    <t xml:space="preserve">Y6 and onwards</t>
  </si>
  <si>
    <t xml:space="preserve">Operating costs (THB per year, Y1 prices)</t>
  </si>
  <si>
    <t xml:space="preserve">Maintenance &amp; unplanned, per house</t>
  </si>
  <si>
    <t xml:space="preserve">Utilities, per house</t>
  </si>
  <si>
    <t xml:space="preserve">Cleaning &amp; laundry, per house</t>
  </si>
  <si>
    <t xml:space="preserve">Admin, accounting, insurance (fixed)</t>
  </si>
  <si>
    <t xml:space="preserve">Marketing (fixed)</t>
  </si>
  <si>
    <t xml:space="preserve">Land rent schedule (THB per year) — from 'Land Contract' sheet, Nestor formula column</t>
  </si>
  <si>
    <t xml:space="preserve">Year →</t>
  </si>
  <si>
    <t xml:space="preserve">Y6</t>
  </si>
  <si>
    <t xml:space="preserve">Y7</t>
  </si>
  <si>
    <t xml:space="preserve">Y8</t>
  </si>
  <si>
    <t xml:space="preserve">Y9</t>
  </si>
  <si>
    <t xml:space="preserve">Y10</t>
  </si>
  <si>
    <t xml:space="preserve">Y11</t>
  </si>
  <si>
    <t xml:space="preserve">Y12</t>
  </si>
  <si>
    <t xml:space="preserve">Y13</t>
  </si>
  <si>
    <t xml:space="preserve">Y14</t>
  </si>
  <si>
    <t xml:space="preserve">Y15</t>
  </si>
  <si>
    <t xml:space="preserve">Y16</t>
  </si>
  <si>
    <t xml:space="preserve">Y17</t>
  </si>
  <si>
    <t xml:space="preserve">Y18</t>
  </si>
  <si>
    <t xml:space="preserve">Y19</t>
  </si>
  <si>
    <t xml:space="preserve">Y20</t>
  </si>
  <si>
    <t xml:space="preserve">Y21</t>
  </si>
  <si>
    <t xml:space="preserve">Y22</t>
  </si>
  <si>
    <t xml:space="preserve">Y23</t>
  </si>
  <si>
    <t xml:space="preserve">Y24</t>
  </si>
  <si>
    <t xml:space="preserve">Y25</t>
  </si>
  <si>
    <t xml:space="preserve">Y26</t>
  </si>
  <si>
    <t xml:space="preserve">Y27</t>
  </si>
  <si>
    <t xml:space="preserve">Y28</t>
  </si>
  <si>
    <t xml:space="preserve">Y29</t>
  </si>
  <si>
    <t xml:space="preserve">Y30</t>
  </si>
  <si>
    <t xml:space="preserve">Land rent</t>
  </si>
  <si>
    <t xml:space="preserve">Restructuring round (from cap-table scenario)</t>
  </si>
  <si>
    <t xml:space="preserve">Pablo contributes (THB)</t>
  </si>
  <si>
    <t xml:space="preserve">New investor contributes (THB)</t>
  </si>
  <si>
    <t xml:space="preserve">Prior equity paid in before the round (THB)</t>
  </si>
  <si>
    <t xml:space="preserve">Houses already operating in 2026 (Y0)</t>
  </si>
  <si>
    <t xml:space="preserve">Share of 2026 operated (Y0 stub)</t>
  </si>
  <si>
    <t xml:space="preserve">Y0 stub inputs sit at rows 57–58.</t>
  </si>
  <si>
    <t xml:space="preserve">Build schedule — expansion houses added per year and the month they open (1 = Jan … 12 = Dec)</t>
  </si>
  <si>
    <t xml:space="preserve">New houses opening</t>
  </si>
  <si>
    <t xml:space="preserve">Opening month</t>
  </si>
  <si>
    <t xml:space="preserve">Check: added + built = total (should be 0)</t>
  </si>
  <si>
    <t xml:space="preserve">Planned equity raise (THB) — 50/50 with the loan (bank or private)</t>
  </si>
  <si>
    <t xml:space="preserve">Equity raised</t>
  </si>
  <si>
    <t xml:space="preserve">Total planned raise</t>
  </si>
  <si>
    <t xml:space="preserve">Mira Wok Tum — 30-year operating model (THB)</t>
  </si>
  <si>
    <t xml:space="preserve">Model year</t>
  </si>
  <si>
    <t xml:space="preserve">Calendar year</t>
  </si>
  <si>
    <t xml:space="preserve">CAPACITY</t>
  </si>
  <si>
    <t xml:space="preserve">Houses — already built (house-years)</t>
  </si>
  <si>
    <t xml:space="preserve">New houses opening this year</t>
  </si>
  <si>
    <t xml:space="preserve">Expansion houses at start of year</t>
  </si>
  <si>
    <t xml:space="preserve">Houses — expansion (house-years)</t>
  </si>
  <si>
    <t xml:space="preserve">Houses at year end</t>
  </si>
  <si>
    <t xml:space="preserve">Houses operating (house-years)</t>
  </si>
  <si>
    <t xml:space="preserve">Weeks/house — high season</t>
  </si>
  <si>
    <t xml:space="preserve">Weeks/house — mid season</t>
  </si>
  <si>
    <t xml:space="preserve">Weeks/house — low season</t>
  </si>
  <si>
    <t xml:space="preserve">Occupancy</t>
  </si>
  <si>
    <t xml:space="preserve">RATES (THB per week)</t>
  </si>
  <si>
    <t xml:space="preserve">High season</t>
  </si>
  <si>
    <t xml:space="preserve">Mid season</t>
  </si>
  <si>
    <t xml:space="preserve">Low season</t>
  </si>
  <si>
    <t xml:space="preserve">REVENUE</t>
  </si>
  <si>
    <t xml:space="preserve">High season revenue</t>
  </si>
  <si>
    <t xml:space="preserve">Mid season revenue</t>
  </si>
  <si>
    <t xml:space="preserve">Low season revenue</t>
  </si>
  <si>
    <t xml:space="preserve">Gross rental revenue</t>
  </si>
  <si>
    <t xml:space="preserve">Management fee (10% of revenue)</t>
  </si>
  <si>
    <t xml:space="preserve">Net revenue</t>
  </si>
  <si>
    <t xml:space="preserve">OPERATING COSTS</t>
  </si>
  <si>
    <t xml:space="preserve">Cost inflation index</t>
  </si>
  <si>
    <t xml:space="preserve">Share of year operated</t>
  </si>
  <si>
    <t xml:space="preserve">Maintenance &amp; unplanned</t>
  </si>
  <si>
    <t xml:space="preserve">Utilities</t>
  </si>
  <si>
    <t xml:space="preserve">Cleaning &amp; laundry</t>
  </si>
  <si>
    <t xml:space="preserve">Admin, accounting, insurance</t>
  </si>
  <si>
    <t xml:space="preserve">Marketing</t>
  </si>
  <si>
    <t xml:space="preserve">FF&amp;E / refurbishment reserve</t>
  </si>
  <si>
    <t xml:space="preserve">Total operating costs</t>
  </si>
  <si>
    <t xml:space="preserve">EBITDA</t>
  </si>
  <si>
    <t xml:space="preserve">EBITDA margin</t>
  </si>
  <si>
    <t xml:space="preserve">CAPEX &amp; DEPRECIATION</t>
  </si>
  <si>
    <t xml:space="preserve">Expansion construction capex</t>
  </si>
  <si>
    <t xml:space="preserve">Depreciation — phase 1 (30 yrs)</t>
  </si>
  <si>
    <t xml:space="preserve">Depreciation — expansion (each batch to year 30)</t>
  </si>
  <si>
    <t xml:space="preserve">Total depreciation</t>
  </si>
  <si>
    <t xml:space="preserve">LOAN (BANK OR PRIVATE)</t>
  </si>
  <si>
    <t xml:space="preserve">Loan drawdown</t>
  </si>
  <si>
    <t xml:space="preserve">Opening balance</t>
  </si>
  <si>
    <t xml:space="preserve">Principal repayment</t>
  </si>
  <si>
    <t xml:space="preserve">Interest</t>
  </si>
  <si>
    <t xml:space="preserve">Closing balance</t>
  </si>
  <si>
    <t xml:space="preserve">PROFIT &amp; LOSS</t>
  </si>
  <si>
    <t xml:space="preserve">Profit before tax</t>
  </si>
  <si>
    <t xml:space="preserve">Net profit</t>
  </si>
  <si>
    <t xml:space="preserve">CASH FLOW &amp; DIVIDENDS</t>
  </si>
  <si>
    <t xml:space="preserve">Opening cash</t>
  </si>
  <si>
    <t xml:space="preserve">Operating cash flow (net profit + depreciation)</t>
  </si>
  <si>
    <t xml:space="preserve">Construction capex</t>
  </si>
  <si>
    <t xml:space="preserve">Loan principal repayment</t>
  </si>
  <si>
    <t xml:space="preserve">Cash available before dividends</t>
  </si>
  <si>
    <t xml:space="preserve">Ordinary dividend (payout % of net profit, paid every year)</t>
  </si>
  <si>
    <t xml:space="preserve">Special distribution (surplus cash once debt-free)</t>
  </si>
  <si>
    <t xml:space="preserve">Total dividends paid</t>
  </si>
  <si>
    <t xml:space="preserve">Planned equity raise</t>
  </si>
  <si>
    <t xml:space="preserve">Equity top-up (shortfall beyond the plan)</t>
  </si>
  <si>
    <t xml:space="preserve">Closing cash</t>
  </si>
  <si>
    <t xml:space="preserve">Effective payout ratio</t>
  </si>
  <si>
    <t xml:space="preserve">Check: cash ≥ minimum (1 = ok)</t>
  </si>
  <si>
    <t xml:space="preserve">Returns — project and equity (THB)</t>
  </si>
  <si>
    <t xml:space="preserve">Unlevered project cash flow</t>
  </si>
  <si>
    <t xml:space="preserve">Equity invested (sunk + cash + raises)</t>
  </si>
  <si>
    <t xml:space="preserve">Dividends received</t>
  </si>
  <si>
    <t xml:space="preserve">Residual cash at year 30 (lease ends, land reverts)</t>
  </si>
  <si>
    <t xml:space="preserve">Equity cash flow</t>
  </si>
  <si>
    <t xml:space="preserve">Cumulative equity cash flow</t>
  </si>
  <si>
    <t xml:space="preserve">Cash yield on total equity invested</t>
  </si>
  <si>
    <t xml:space="preserve">SUMMARY</t>
  </si>
  <si>
    <t xml:space="preserve">Total equity invested (THB)</t>
  </si>
  <si>
    <t xml:space="preserve">  of which expansion equity raise incl. top-up (THB)</t>
  </si>
  <si>
    <t xml:space="preserve">  of which unplanned top-up (THB)</t>
  </si>
  <si>
    <t xml:space="preserve">Loan raised — bank or private (THB)</t>
  </si>
  <si>
    <t xml:space="preserve">Total dividends over 30 years (THB)</t>
  </si>
  <si>
    <t xml:space="preserve">Residual cash distributed at year 30 (THB)</t>
  </si>
  <si>
    <t xml:space="preserve">Equity multiple (MOIC)</t>
  </si>
  <si>
    <t xml:space="preserve">Equity IRR (30 years)</t>
  </si>
  <si>
    <t xml:space="preserve">Project IRR (unlevered, 30 years)</t>
  </si>
  <si>
    <t xml:space="preserve">Payback year (cumulative equity CF turns positive)</t>
  </si>
  <si>
    <t xml:space="preserve">Average cash yield, years 5–30</t>
  </si>
  <si>
    <t xml:space="preserve">Stabilised EBITDA (year 6 = 2032, THB)</t>
  </si>
  <si>
    <t xml:space="preserve">Stabilised net profit (year 6, THB)</t>
  </si>
  <si>
    <t xml:space="preserve">Stabilised dividends (year 6, THB)</t>
  </si>
  <si>
    <t xml:space="preserve">Stabilised revenue (year 6, THB)</t>
  </si>
  <si>
    <t xml:space="preserve">Peak loan balance (THB)</t>
  </si>
  <si>
    <t xml:space="preserve">Cash check (1 = never below minimum)</t>
  </si>
  <si>
    <t xml:space="preserve">PARTNER CASH FLOWS (for IRR)</t>
  </si>
  <si>
    <t xml:space="preserve">Partner CF — Pablo</t>
  </si>
  <si>
    <t xml:space="preserve">Partner CF — Álvaro</t>
  </si>
  <si>
    <t xml:space="preserve">Partner CF — Néstor</t>
  </si>
  <si>
    <t xml:space="preserve">Partner CF — Kiko</t>
  </si>
  <si>
    <t xml:space="preserve">Partner CF — Pui</t>
  </si>
  <si>
    <t xml:space="preserve">Partner CF — Alberto</t>
  </si>
  <si>
    <t xml:space="preserve">Partner CF — Stefanos</t>
  </si>
  <si>
    <t xml:space="preserve">Partner CF — New investor</t>
  </si>
  <si>
    <t xml:space="preserve">Cap table — restructuring and returns per partner</t>
  </si>
  <si>
    <t xml:space="preserve">Ownership percentages from the restructuring scenario (agreed terms, input). Capital calls assumed pro-rata to post-round ownership.</t>
  </si>
  <si>
    <t xml:space="preserve">Partner</t>
  </si>
  <si>
    <t xml:space="preserve">Ownership 2025</t>
  </si>
  <si>
    <t xml:space="preserve">Stopped contributing (THB)</t>
  </si>
  <si>
    <t xml:space="preserve">Contributes now (THB)</t>
  </si>
  <si>
    <t xml:space="preserve">Ownership after round</t>
  </si>
  <si>
    <t xml:space="preserve">Prior capital (THB)</t>
  </si>
  <si>
    <t xml:space="preserve">Total paid in before phase 2 (THB)</t>
  </si>
  <si>
    <t xml:space="preserve">Expansion equity raise share (THB)</t>
  </si>
  <si>
    <t xml:space="preserve">Total invested (THB)</t>
  </si>
  <si>
    <t xml:space="preserve">30-yr dividends + residual (THB)</t>
  </si>
  <si>
    <t xml:space="preserve">Multiple</t>
  </si>
  <si>
    <t xml:space="preserve">IRR</t>
  </si>
  <si>
    <t xml:space="preserve">Pablo</t>
  </si>
  <si>
    <t xml:space="preserve">Álvaro</t>
  </si>
  <si>
    <t xml:space="preserve">Néstor</t>
  </si>
  <si>
    <t xml:space="preserve">Kiko</t>
  </si>
  <si>
    <t xml:space="preserve">Pui</t>
  </si>
  <si>
    <t xml:space="preserve">Alberto</t>
  </si>
  <si>
    <t xml:space="preserve">Stefanos</t>
  </si>
  <si>
    <t xml:space="preserve">New investor</t>
  </si>
  <si>
    <t xml:space="preserve">Check: post-round ownership sums to 100%</t>
  </si>
  <si>
    <t xml:space="preserve">Note: 'Stopped contributing' is the amount each partner declined to put in the round; dilution follows from that. Pablo keeps 19.83% by contributing ฿2.38M; the new investor's 18.06% for ฿6.62M is the negotiated term.</t>
  </si>
  <si>
    <t xml:space="preserve">HOW TO READ THIS MODEL</t>
  </si>
  <si>
    <t xml:space="preserve">1. Assumptions: every blue/yellow cell is an input. Change it and the whole model recalculates.</t>
  </si>
  <si>
    <t xml:space="preserve">2. Model: 30 years of operations, Y0 = Oct–Dec 2026 (2 houses open, one quarter), Y1 = 2027 (4 houses, ~70% occupancy rising to ~80%). Phase 2 = 8 more houses on the other half of the land.</t>
  </si>
  <si>
    <t xml:space="preserve">3. Returns: project IRR (unlevered), equity IRR, MOIC, payback, yearly cash yield.</t>
  </si>
  <si>
    <t xml:space="preserve">4. CapTable: restructuring scenario, pro-rata expansion equity raise, and per-partner multiple and IRR.</t>
  </si>
  <si>
    <t xml:space="preserve">KEY MECHANICS</t>
  </si>
  <si>
    <t xml:space="preserve">• Revenue = house-years × weeks booked per season × nightly rate × 7 (rates per Nestor: ฿10.5k / ฿7.5k / ฿5.5k high / mid / low, +3%/yr).</t>
  </si>
  <si>
    <t xml:space="preserve">• 10% booking-platform commission and 10% management fee are both taken off gross revenue.</t>
  </si>
  <si>
    <t xml:space="preserve">• Expansion: 10 houses × ฿6.5M = ฿65M built per the schedule in Assumptions row 64 (2 open Sep 2027, 4 open Jul 2028, 4 open May 2029). Capex is paid in the opening year; houses earn from the month they open.</t>
  </si>
  <si>
    <t xml:space="preserve">• Funding: ฿25M loan from a bank or private lender at 8% (from 2028, drawn pro-rata to capex) + ฿25M planned equity raise (Assumptions row 68) + retained proceeds. If these fall short of the minimum cash balance in any year, Model shows an 'Equity top-up'.</t>
  </si>
  <si>
    <t xml:space="preserve">• Dividends = payout % × net profit, paid every year including the build years (Nestor's rule). The special distribution releases surplus cash once the loan is repaid.</t>
  </si>
  <si>
    <t xml:space="preserve">• Equity raise is assumed pro-rata to post-round ownership; a partner who does not follow is diluted (not modelled).</t>
  </si>
  <si>
    <t xml:space="preserve">• Loan: interest-only while building, then a 10-year annuity from the amortisation start year (default 2030).</t>
  </si>
  <si>
    <t xml:space="preserve">• Leasehold: 30-year land contract. No terminal value is assumed for the buildings; residual cash at Y30 is distributed.</t>
  </si>
  <si>
    <t xml:space="preserve">SIMPLIFICATIONS / TO VERIFY</t>
  </si>
  <si>
    <t xml:space="preserve">• Tax: 20% CIT on positive profit, no loss carry-forward, no SME step rates, no dividend withholding (10% WHT applies to individual shareholders in Thailand).</t>
  </si>
  <si>
    <t xml:space="preserve">• The ฿3M opening cash is assumed to be the balance after the ฿9.0M restructuring round. If the ฿3M is before the round, raise Assumptions!C9.</t>
  </si>
  <si>
    <t xml:space="preserve">• Land rent schedule Y1 = contract Y1. If the contract started earlier, shift Assumptions row 51.</t>
  </si>
  <si>
    <t xml:space="preserve">• ฿6.5M/house is the current estimate; phase 1 overran (฿30M for 4 = ฿7.5M/house). Sensitivities in the investor memo.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</si>
</sst>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.00"/>
    <numFmt numFmtId="166" formatCode="0"/>
    <numFmt numFmtId="167" formatCode="#,##0;\(#,##0\);\-"/>
    <numFmt numFmtId="168" formatCode="0.0%;\(0.0%\);\-"/>
    <numFmt numFmtId="169" formatCode="#,##0"/>
    <numFmt numFmtId="170" formatCode="0.0"/>
    <numFmt numFmtId="171" formatCode="0.000"/>
    <numFmt numFmtId="172" formatCode="0.00\x"/>
    <numFmt numFmtId="173" formatCode="0.00%"/>
    <numFmt numFmtId="174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  <font>
      <sz val="1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DEDED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3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F6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9" min="3" style="0" width="13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n">
        <v>33</v>
      </c>
    </row>
    <row r="6" customFormat="false" ht="15" hidden="false" customHeight="false" outlineLevel="0" collapsed="false">
      <c r="B6" s="3" t="s">
        <v>3</v>
      </c>
      <c r="C6" s="5" t="n">
        <v>2027</v>
      </c>
    </row>
    <row r="7" customFormat="false" ht="15" hidden="false" customHeight="false" outlineLevel="0" collapsed="false">
      <c r="B7" s="3" t="s">
        <v>4</v>
      </c>
      <c r="C7" s="5" t="n">
        <v>4</v>
      </c>
    </row>
    <row r="8" customFormat="false" ht="15" hidden="false" customHeight="false" outlineLevel="0" collapsed="false">
      <c r="B8" s="3" t="s">
        <v>5</v>
      </c>
      <c r="C8" s="6" t="n">
        <v>30000000</v>
      </c>
    </row>
    <row r="9" customFormat="false" ht="15" hidden="false" customHeight="false" outlineLevel="0" collapsed="false">
      <c r="B9" s="3" t="s">
        <v>6</v>
      </c>
      <c r="C9" s="6" t="n">
        <v>3000000</v>
      </c>
    </row>
    <row r="10" customFormat="false" ht="15" hidden="false" customHeight="false" outlineLevel="0" collapsed="false">
      <c r="B10" s="3" t="s">
        <v>7</v>
      </c>
      <c r="C10" s="5" t="n">
        <v>14</v>
      </c>
    </row>
    <row r="11" customFormat="false" ht="15" hidden="false" customHeight="false" outlineLevel="0" collapsed="false">
      <c r="B11" s="3" t="s">
        <v>8</v>
      </c>
      <c r="C11" s="6" t="n">
        <v>6500000</v>
      </c>
    </row>
    <row r="12" customFormat="false" ht="15" hidden="false" customHeight="false" outlineLevel="0" collapsed="false">
      <c r="B12" s="3" t="s">
        <v>9</v>
      </c>
      <c r="C12" s="6" t="n">
        <v>25000000</v>
      </c>
    </row>
    <row r="13" customFormat="false" ht="15" hidden="false" customHeight="false" outlineLevel="0" collapsed="false">
      <c r="B13" s="3" t="s">
        <v>10</v>
      </c>
      <c r="C13" s="5" t="n">
        <v>4</v>
      </c>
    </row>
    <row r="14" customFormat="false" ht="15" hidden="false" customHeight="false" outlineLevel="0" collapsed="false">
      <c r="B14" s="3" t="s">
        <v>11</v>
      </c>
      <c r="C14" s="7" t="n">
        <v>1</v>
      </c>
    </row>
    <row r="15" customFormat="false" ht="15" hidden="false" customHeight="false" outlineLevel="0" collapsed="false">
      <c r="B15" s="3" t="s">
        <v>12</v>
      </c>
      <c r="C15" s="5" t="n">
        <v>2</v>
      </c>
    </row>
    <row r="18" customFormat="false" ht="15" hidden="false" customHeight="false" outlineLevel="0" collapsed="false">
      <c r="B18" s="3" t="s">
        <v>13</v>
      </c>
      <c r="C18" s="7" t="n">
        <v>0.08</v>
      </c>
    </row>
    <row r="20" customFormat="false" ht="15" hidden="false" customHeight="false" outlineLevel="0" collapsed="false">
      <c r="B20" s="3" t="s">
        <v>14</v>
      </c>
      <c r="C20" s="5" t="n">
        <v>10</v>
      </c>
    </row>
    <row r="21" customFormat="false" ht="15" hidden="false" customHeight="false" outlineLevel="0" collapsed="false">
      <c r="B21" s="3" t="s">
        <v>15</v>
      </c>
      <c r="C21" s="7" t="n">
        <v>0.1</v>
      </c>
    </row>
    <row r="22" customFormat="false" ht="15" hidden="false" customHeight="false" outlineLevel="0" collapsed="false">
      <c r="B22" s="3" t="s">
        <v>16</v>
      </c>
      <c r="C22" s="7" t="n">
        <v>0.1</v>
      </c>
    </row>
    <row r="23" customFormat="false" ht="15" hidden="false" customHeight="false" outlineLevel="0" collapsed="false">
      <c r="B23" s="3" t="s">
        <v>17</v>
      </c>
      <c r="C23" s="7" t="n">
        <v>0.85</v>
      </c>
    </row>
    <row r="24" customFormat="false" ht="15" hidden="false" customHeight="false" outlineLevel="0" collapsed="false">
      <c r="B24" s="3" t="s">
        <v>18</v>
      </c>
      <c r="C24" s="6" t="n">
        <v>1000000</v>
      </c>
    </row>
    <row r="25" customFormat="false" ht="15" hidden="false" customHeight="false" outlineLevel="0" collapsed="false">
      <c r="B25" s="3" t="s">
        <v>19</v>
      </c>
      <c r="C25" s="7" t="n">
        <v>0.2</v>
      </c>
    </row>
    <row r="26" customFormat="false" ht="15" hidden="false" customHeight="false" outlineLevel="0" collapsed="false">
      <c r="B26" s="3" t="s">
        <v>20</v>
      </c>
      <c r="C26" s="7" t="n">
        <v>0.03</v>
      </c>
    </row>
    <row r="27" customFormat="false" ht="15" hidden="false" customHeight="false" outlineLevel="0" collapsed="false">
      <c r="B27" s="3" t="s">
        <v>21</v>
      </c>
      <c r="C27" s="7" t="n">
        <v>0.03</v>
      </c>
    </row>
    <row r="28" customFormat="false" ht="15" hidden="false" customHeight="false" outlineLevel="0" collapsed="false">
      <c r="B28" s="3" t="s">
        <v>22</v>
      </c>
      <c r="C28" s="7" t="n">
        <v>0.03</v>
      </c>
    </row>
    <row r="29" customFormat="false" ht="15" hidden="false" customHeight="false" outlineLevel="0" collapsed="false">
      <c r="B29" s="3" t="s">
        <v>23</v>
      </c>
      <c r="C29" s="6" t="n">
        <v>6000000</v>
      </c>
    </row>
    <row r="30" customFormat="false" ht="15" hidden="false" customHeight="false" outlineLevel="0" collapsed="false">
      <c r="B30" s="8" t="s">
        <v>24</v>
      </c>
      <c r="C30" s="8" t="s">
        <v>25</v>
      </c>
      <c r="D30" s="8" t="s">
        <v>26</v>
      </c>
      <c r="E30" s="8" t="s">
        <v>27</v>
      </c>
    </row>
    <row r="31" customFormat="false" ht="15" hidden="false" customHeight="false" outlineLevel="0" collapsed="false">
      <c r="B31" s="0" t="s">
        <v>28</v>
      </c>
      <c r="C31" s="9" t="n">
        <v>10500</v>
      </c>
      <c r="D31" s="9" t="n">
        <v>7500</v>
      </c>
      <c r="E31" s="9" t="n">
        <v>5500</v>
      </c>
    </row>
    <row r="32" customFormat="false" ht="15" hidden="false" customHeight="false" outlineLevel="0" collapsed="false">
      <c r="B32" s="0" t="s">
        <v>29</v>
      </c>
      <c r="C32" s="10" t="n">
        <f aca="false">C31*7</f>
        <v>73500</v>
      </c>
      <c r="D32" s="10" t="n">
        <f aca="false">D31*7</f>
        <v>52500</v>
      </c>
      <c r="E32" s="10" t="n">
        <f aca="false">E31*7</f>
        <v>38500</v>
      </c>
    </row>
    <row r="34" customFormat="false" ht="15" hidden="false" customHeight="false" outlineLevel="0" collapsed="false">
      <c r="B34" s="8" t="s">
        <v>30</v>
      </c>
      <c r="C34" s="8" t="s">
        <v>25</v>
      </c>
      <c r="D34" s="8" t="s">
        <v>26</v>
      </c>
      <c r="E34" s="8" t="s">
        <v>27</v>
      </c>
      <c r="F34" s="8" t="s">
        <v>31</v>
      </c>
    </row>
    <row r="35" customFormat="false" ht="15" hidden="false" customHeight="false" outlineLevel="0" collapsed="false">
      <c r="B35" s="3" t="s">
        <v>32</v>
      </c>
      <c r="C35" s="11" t="n">
        <v>14</v>
      </c>
      <c r="D35" s="11" t="n">
        <v>12</v>
      </c>
      <c r="E35" s="11" t="n">
        <v>10</v>
      </c>
      <c r="F35" s="0" t="n">
        <f aca="false">SUM(C35:E35)</f>
        <v>36</v>
      </c>
    </row>
    <row r="36" customFormat="false" ht="15" hidden="false" customHeight="false" outlineLevel="0" collapsed="false">
      <c r="B36" s="3" t="s">
        <v>33</v>
      </c>
      <c r="C36" s="11" t="n">
        <v>15</v>
      </c>
      <c r="D36" s="11" t="n">
        <v>13</v>
      </c>
      <c r="E36" s="11" t="n">
        <v>10</v>
      </c>
      <c r="F36" s="0" t="n">
        <f aca="false">SUM(C36:E36)</f>
        <v>38</v>
      </c>
    </row>
    <row r="37" customFormat="false" ht="15" hidden="false" customHeight="false" outlineLevel="0" collapsed="false">
      <c r="B37" s="3" t="s">
        <v>34</v>
      </c>
      <c r="C37" s="11" t="n">
        <v>16</v>
      </c>
      <c r="D37" s="11" t="n">
        <v>14</v>
      </c>
      <c r="E37" s="11" t="n">
        <v>10</v>
      </c>
      <c r="F37" s="0" t="n">
        <f aca="false">SUM(C37:E37)</f>
        <v>40</v>
      </c>
    </row>
    <row r="38" customFormat="false" ht="15" hidden="false" customHeight="false" outlineLevel="0" collapsed="false">
      <c r="B38" s="3" t="s">
        <v>35</v>
      </c>
      <c r="C38" s="11" t="n">
        <v>16</v>
      </c>
      <c r="D38" s="11" t="n">
        <v>14</v>
      </c>
      <c r="E38" s="11" t="n">
        <v>11</v>
      </c>
      <c r="F38" s="0" t="n">
        <f aca="false">SUM(C38:E38)</f>
        <v>41</v>
      </c>
    </row>
    <row r="39" customFormat="false" ht="15" hidden="false" customHeight="false" outlineLevel="0" collapsed="false">
      <c r="B39" s="3" t="s">
        <v>36</v>
      </c>
      <c r="C39" s="11" t="n">
        <v>16</v>
      </c>
      <c r="D39" s="11" t="n">
        <v>14</v>
      </c>
      <c r="E39" s="11" t="n">
        <v>12</v>
      </c>
      <c r="F39" s="0" t="n">
        <f aca="false">SUM(C39:E39)</f>
        <v>42</v>
      </c>
    </row>
    <row r="40" customFormat="false" ht="15" hidden="false" customHeight="false" outlineLevel="0" collapsed="false">
      <c r="B40" s="3" t="s">
        <v>37</v>
      </c>
      <c r="C40" s="11" t="n">
        <v>16</v>
      </c>
      <c r="D40" s="11" t="n">
        <v>14</v>
      </c>
      <c r="E40" s="11" t="n">
        <v>12</v>
      </c>
      <c r="F40" s="0" t="n">
        <f aca="false">SUM(C40:E40)</f>
        <v>42</v>
      </c>
    </row>
    <row r="42" customFormat="false" ht="15" hidden="false" customHeight="false" outlineLevel="0" collapsed="false">
      <c r="B42" s="8" t="s">
        <v>38</v>
      </c>
    </row>
    <row r="43" customFormat="false" ht="15" hidden="false" customHeight="false" outlineLevel="0" collapsed="false">
      <c r="B43" s="3" t="s">
        <v>39</v>
      </c>
      <c r="C43" s="6" t="n">
        <v>66000</v>
      </c>
    </row>
    <row r="44" customFormat="false" ht="15" hidden="false" customHeight="false" outlineLevel="0" collapsed="false">
      <c r="B44" s="3" t="s">
        <v>40</v>
      </c>
      <c r="C44" s="6" t="n">
        <v>26400</v>
      </c>
    </row>
    <row r="45" customFormat="false" ht="15" hidden="false" customHeight="false" outlineLevel="0" collapsed="false">
      <c r="B45" s="3" t="s">
        <v>41</v>
      </c>
      <c r="C45" s="6" t="n">
        <v>50000</v>
      </c>
    </row>
    <row r="46" customFormat="false" ht="15" hidden="false" customHeight="false" outlineLevel="0" collapsed="false">
      <c r="B46" s="3" t="s">
        <v>42</v>
      </c>
      <c r="C46" s="6" t="n">
        <v>250000</v>
      </c>
    </row>
    <row r="47" customFormat="false" ht="15" hidden="false" customHeight="false" outlineLevel="0" collapsed="false">
      <c r="B47" s="3" t="s">
        <v>43</v>
      </c>
      <c r="C47" s="6" t="n">
        <v>264000</v>
      </c>
    </row>
    <row r="49" customFormat="false" ht="15" hidden="false" customHeight="false" outlineLevel="0" collapsed="false">
      <c r="B49" s="8" t="s">
        <v>44</v>
      </c>
    </row>
    <row r="50" customFormat="false" ht="15" hidden="false" customHeight="false" outlineLevel="0" collapsed="false">
      <c r="B50" s="0" t="s">
        <v>45</v>
      </c>
      <c r="C50" s="8" t="s">
        <v>32</v>
      </c>
      <c r="D50" s="8" t="s">
        <v>33</v>
      </c>
      <c r="E50" s="8" t="s">
        <v>34</v>
      </c>
      <c r="F50" s="8" t="s">
        <v>35</v>
      </c>
      <c r="G50" s="8" t="s">
        <v>36</v>
      </c>
      <c r="H50" s="8" t="s">
        <v>46</v>
      </c>
      <c r="I50" s="8" t="s">
        <v>47</v>
      </c>
      <c r="J50" s="8" t="s">
        <v>48</v>
      </c>
      <c r="K50" s="8" t="s">
        <v>49</v>
      </c>
      <c r="L50" s="8" t="s">
        <v>50</v>
      </c>
      <c r="M50" s="8" t="s">
        <v>51</v>
      </c>
      <c r="N50" s="8" t="s">
        <v>52</v>
      </c>
      <c r="O50" s="8" t="s">
        <v>53</v>
      </c>
      <c r="P50" s="8" t="s">
        <v>54</v>
      </c>
      <c r="Q50" s="8" t="s">
        <v>55</v>
      </c>
      <c r="R50" s="8" t="s">
        <v>56</v>
      </c>
      <c r="S50" s="8" t="s">
        <v>57</v>
      </c>
      <c r="T50" s="8" t="s">
        <v>58</v>
      </c>
      <c r="U50" s="8" t="s">
        <v>59</v>
      </c>
      <c r="V50" s="8" t="s">
        <v>60</v>
      </c>
      <c r="W50" s="8" t="s">
        <v>61</v>
      </c>
      <c r="X50" s="8" t="s">
        <v>62</v>
      </c>
      <c r="Y50" s="8" t="s">
        <v>63</v>
      </c>
      <c r="Z50" s="8" t="s">
        <v>64</v>
      </c>
      <c r="AA50" s="8" t="s">
        <v>65</v>
      </c>
      <c r="AB50" s="8" t="s">
        <v>66</v>
      </c>
      <c r="AC50" s="8" t="s">
        <v>67</v>
      </c>
      <c r="AD50" s="8" t="s">
        <v>68</v>
      </c>
      <c r="AE50" s="8" t="s">
        <v>69</v>
      </c>
      <c r="AF50" s="8" t="s">
        <v>70</v>
      </c>
    </row>
    <row r="51" customFormat="false" ht="15" hidden="false" customHeight="false" outlineLevel="0" collapsed="false">
      <c r="B51" s="0" t="s">
        <v>71</v>
      </c>
      <c r="C51" s="6" t="n">
        <v>408000</v>
      </c>
      <c r="D51" s="6" t="n">
        <v>408000</v>
      </c>
      <c r="E51" s="6" t="n">
        <v>408000</v>
      </c>
      <c r="F51" s="6" t="n">
        <v>428400</v>
      </c>
      <c r="G51" s="6" t="n">
        <v>428400</v>
      </c>
      <c r="H51" s="6" t="n">
        <v>428400</v>
      </c>
      <c r="I51" s="6" t="n">
        <v>449820</v>
      </c>
      <c r="J51" s="6" t="n">
        <v>449820</v>
      </c>
      <c r="K51" s="6" t="n">
        <v>449820</v>
      </c>
      <c r="L51" s="6" t="n">
        <v>472311</v>
      </c>
      <c r="M51" s="6" t="n">
        <v>472311</v>
      </c>
      <c r="N51" s="6" t="n">
        <v>472311</v>
      </c>
      <c r="O51" s="6" t="n">
        <v>495926.55</v>
      </c>
      <c r="P51" s="6" t="n">
        <v>495926.55</v>
      </c>
      <c r="Q51" s="6" t="n">
        <v>495926.55</v>
      </c>
      <c r="R51" s="6" t="n">
        <v>520722.8775</v>
      </c>
      <c r="S51" s="6" t="n">
        <v>520722.8775</v>
      </c>
      <c r="T51" s="6" t="n">
        <v>520722.8775</v>
      </c>
      <c r="U51" s="6" t="n">
        <v>546759.0214</v>
      </c>
      <c r="V51" s="6" t="n">
        <v>546759.0214</v>
      </c>
      <c r="W51" s="6" t="n">
        <v>546759.0214</v>
      </c>
      <c r="X51" s="6" t="n">
        <v>574096.9724</v>
      </c>
      <c r="Y51" s="6" t="n">
        <v>574096.9724</v>
      </c>
      <c r="Z51" s="6" t="n">
        <v>574096.9724</v>
      </c>
      <c r="AA51" s="6" t="n">
        <v>602801.8211</v>
      </c>
      <c r="AB51" s="6" t="n">
        <v>602801.8211</v>
      </c>
      <c r="AC51" s="6" t="n">
        <v>602801.8211</v>
      </c>
      <c r="AD51" s="6" t="n">
        <v>632941.9121</v>
      </c>
      <c r="AE51" s="6" t="n">
        <v>632941.9121</v>
      </c>
      <c r="AF51" s="6" t="n">
        <v>632941.9121</v>
      </c>
    </row>
    <row r="53" customFormat="false" ht="15" hidden="false" customHeight="false" outlineLevel="0" collapsed="false">
      <c r="B53" s="8" t="s">
        <v>72</v>
      </c>
    </row>
    <row r="54" customFormat="false" ht="15" hidden="false" customHeight="false" outlineLevel="0" collapsed="false">
      <c r="B54" s="0" t="s">
        <v>73</v>
      </c>
      <c r="C54" s="6" t="n">
        <v>2380000</v>
      </c>
    </row>
    <row r="55" customFormat="false" ht="15" hidden="false" customHeight="false" outlineLevel="0" collapsed="false">
      <c r="B55" s="0" t="s">
        <v>74</v>
      </c>
      <c r="C55" s="6" t="n">
        <v>6620000</v>
      </c>
    </row>
    <row r="56" customFormat="false" ht="15" hidden="false" customHeight="false" outlineLevel="0" collapsed="false">
      <c r="B56" s="0" t="s">
        <v>75</v>
      </c>
      <c r="C56" s="10" t="n">
        <f aca="false">C8+C9-C54-C55</f>
        <v>24000000</v>
      </c>
    </row>
    <row r="57" customFormat="false" ht="15" hidden="false" customHeight="false" outlineLevel="0" collapsed="false">
      <c r="B57" s="3" t="s">
        <v>76</v>
      </c>
      <c r="C57" s="5" t="n">
        <v>2</v>
      </c>
    </row>
    <row r="58" customFormat="false" ht="15" hidden="false" customHeight="false" outlineLevel="0" collapsed="false">
      <c r="B58" s="3" t="s">
        <v>77</v>
      </c>
      <c r="C58" s="7" t="n">
        <v>0.25</v>
      </c>
    </row>
    <row r="60" customFormat="false" ht="15" hidden="false" customHeight="false" outlineLevel="0" collapsed="false">
      <c r="B60" s="2" t="s">
        <v>78</v>
      </c>
    </row>
    <row r="62" customFormat="false" ht="15" hidden="false" customHeight="false" outlineLevel="0" collapsed="false">
      <c r="B62" s="8" t="s">
        <v>79</v>
      </c>
    </row>
    <row r="63" customFormat="false" ht="15" hidden="false" customHeight="false" outlineLevel="0" collapsed="false">
      <c r="B63" s="0" t="s">
        <v>45</v>
      </c>
      <c r="C63" s="8" t="s">
        <v>32</v>
      </c>
      <c r="D63" s="8" t="s">
        <v>33</v>
      </c>
      <c r="E63" s="8" t="s">
        <v>34</v>
      </c>
      <c r="F63" s="8" t="s">
        <v>35</v>
      </c>
      <c r="G63" s="8" t="s">
        <v>36</v>
      </c>
      <c r="H63" s="8" t="s">
        <v>46</v>
      </c>
      <c r="I63" s="8" t="s">
        <v>47</v>
      </c>
      <c r="J63" s="8" t="s">
        <v>48</v>
      </c>
      <c r="K63" s="8" t="s">
        <v>49</v>
      </c>
      <c r="L63" s="8" t="s">
        <v>50</v>
      </c>
    </row>
    <row r="64" customFormat="false" ht="15" hidden="false" customHeight="false" outlineLevel="0" collapsed="false">
      <c r="B64" s="0" t="s">
        <v>80</v>
      </c>
      <c r="C64" s="5" t="n">
        <v>2</v>
      </c>
      <c r="D64" s="5" t="n">
        <v>4</v>
      </c>
      <c r="E64" s="5" t="n">
        <v>4</v>
      </c>
      <c r="F64" s="5" t="n">
        <v>0</v>
      </c>
      <c r="G64" s="5" t="n">
        <v>0</v>
      </c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</row>
    <row r="65" customFormat="false" ht="15" hidden="false" customHeight="false" outlineLevel="0" collapsed="false">
      <c r="B65" s="0" t="s">
        <v>81</v>
      </c>
      <c r="C65" s="5" t="n">
        <v>9</v>
      </c>
      <c r="D65" s="5" t="n">
        <v>7</v>
      </c>
      <c r="E65" s="5" t="n">
        <v>5</v>
      </c>
      <c r="F65" s="5" t="n">
        <v>1</v>
      </c>
      <c r="G65" s="5" t="n">
        <v>1</v>
      </c>
      <c r="H65" s="5" t="n">
        <v>1</v>
      </c>
      <c r="I65" s="5" t="n">
        <v>1</v>
      </c>
      <c r="J65" s="5" t="n">
        <v>1</v>
      </c>
      <c r="K65" s="5" t="n">
        <v>1</v>
      </c>
      <c r="L65" s="5" t="n">
        <v>1</v>
      </c>
    </row>
    <row r="66" customFormat="false" ht="15" hidden="false" customHeight="false" outlineLevel="0" collapsed="false">
      <c r="B66" s="0" t="s">
        <v>82</v>
      </c>
      <c r="C66" s="0" t="n">
        <f aca="false">SUM(C64:L64)+C7-C10</f>
        <v>0</v>
      </c>
    </row>
    <row r="67" customFormat="false" ht="15" hidden="false" customHeight="false" outlineLevel="0" collapsed="false">
      <c r="B67" s="8" t="s">
        <v>83</v>
      </c>
      <c r="C67" s="8" t="s">
        <v>32</v>
      </c>
      <c r="D67" s="8" t="s">
        <v>33</v>
      </c>
      <c r="E67" s="8" t="s">
        <v>34</v>
      </c>
      <c r="F67" s="8" t="s">
        <v>35</v>
      </c>
      <c r="G67" s="8" t="s">
        <v>36</v>
      </c>
      <c r="H67" s="8" t="s">
        <v>46</v>
      </c>
      <c r="I67" s="8" t="s">
        <v>47</v>
      </c>
      <c r="J67" s="8" t="s">
        <v>48</v>
      </c>
      <c r="K67" s="8" t="s">
        <v>49</v>
      </c>
      <c r="L67" s="8" t="s">
        <v>50</v>
      </c>
    </row>
    <row r="68" customFormat="false" ht="15" hidden="false" customHeight="false" outlineLevel="0" collapsed="false">
      <c r="B68" s="0" t="s">
        <v>84</v>
      </c>
      <c r="C68" s="6" t="n">
        <v>9000000</v>
      </c>
      <c r="D68" s="6" t="n">
        <v>10000000</v>
      </c>
      <c r="E68" s="6" t="n">
        <v>6000000</v>
      </c>
      <c r="F68" s="6" t="n">
        <v>0</v>
      </c>
      <c r="G68" s="6" t="n">
        <v>0</v>
      </c>
      <c r="H68" s="6" t="n">
        <v>0</v>
      </c>
      <c r="I68" s="6" t="n">
        <v>0</v>
      </c>
      <c r="J68" s="6" t="n">
        <v>0</v>
      </c>
      <c r="K68" s="6" t="n">
        <v>0</v>
      </c>
      <c r="L68" s="6" t="n">
        <v>0</v>
      </c>
    </row>
    <row r="69" customFormat="false" ht="15" hidden="false" customHeight="false" outlineLevel="0" collapsed="false">
      <c r="B69" s="0" t="s">
        <v>85</v>
      </c>
      <c r="C69" s="10" t="n">
        <f aca="false">SUM(C68:L68)</f>
        <v>25000000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G8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9" min="3" style="0" width="13"/>
  </cols>
  <sheetData>
    <row r="2" customFormat="false" ht="17.35" hidden="false" customHeight="false" outlineLevel="0" collapsed="false">
      <c r="B2" s="1" t="s">
        <v>86</v>
      </c>
    </row>
    <row r="4" customFormat="false" ht="15" hidden="false" customHeight="false" outlineLevel="0" collapsed="false">
      <c r="B4" s="0" t="s">
        <v>87</v>
      </c>
      <c r="C4" s="8" t="n">
        <v>0</v>
      </c>
      <c r="D4" s="8" t="n">
        <v>1</v>
      </c>
      <c r="E4" s="8" t="n">
        <v>2</v>
      </c>
      <c r="F4" s="8" t="n">
        <v>3</v>
      </c>
      <c r="G4" s="8" t="n">
        <v>4</v>
      </c>
      <c r="H4" s="8" t="n">
        <v>5</v>
      </c>
      <c r="I4" s="8" t="n">
        <v>6</v>
      </c>
      <c r="J4" s="8" t="n">
        <v>7</v>
      </c>
      <c r="K4" s="8" t="n">
        <v>8</v>
      </c>
      <c r="L4" s="8" t="n">
        <v>9</v>
      </c>
      <c r="M4" s="8" t="n">
        <v>10</v>
      </c>
      <c r="N4" s="8" t="n">
        <v>11</v>
      </c>
      <c r="O4" s="8" t="n">
        <v>12</v>
      </c>
      <c r="P4" s="8" t="n">
        <v>13</v>
      </c>
      <c r="Q4" s="8" t="n">
        <v>14</v>
      </c>
      <c r="R4" s="8" t="n">
        <v>15</v>
      </c>
      <c r="S4" s="8" t="n">
        <v>16</v>
      </c>
      <c r="T4" s="8" t="n">
        <v>17</v>
      </c>
      <c r="U4" s="8" t="n">
        <v>18</v>
      </c>
      <c r="V4" s="8" t="n">
        <v>19</v>
      </c>
      <c r="W4" s="8" t="n">
        <v>20</v>
      </c>
      <c r="X4" s="8" t="n">
        <v>21</v>
      </c>
      <c r="Y4" s="8" t="n">
        <v>22</v>
      </c>
      <c r="Z4" s="8" t="n">
        <v>23</v>
      </c>
      <c r="AA4" s="8" t="n">
        <v>24</v>
      </c>
      <c r="AB4" s="8" t="n">
        <v>25</v>
      </c>
      <c r="AC4" s="8" t="n">
        <v>26</v>
      </c>
      <c r="AD4" s="8" t="n">
        <v>27</v>
      </c>
      <c r="AE4" s="8" t="n">
        <v>28</v>
      </c>
      <c r="AF4" s="8" t="n">
        <v>29</v>
      </c>
      <c r="AG4" s="8" t="n">
        <v>30</v>
      </c>
    </row>
    <row r="5" customFormat="false" ht="15" hidden="false" customHeight="false" outlineLevel="0" collapsed="false">
      <c r="B5" s="0" t="s">
        <v>88</v>
      </c>
      <c r="C5" s="12" t="n">
        <f aca="false">Assumptions!$C$6-1</f>
        <v>2026</v>
      </c>
      <c r="D5" s="12" t="n">
        <f aca="false">Assumptions!$C$6+D4-1</f>
        <v>2027</v>
      </c>
      <c r="E5" s="12" t="n">
        <f aca="false">Assumptions!$C$6+E4-1</f>
        <v>2028</v>
      </c>
      <c r="F5" s="12" t="n">
        <f aca="false">Assumptions!$C$6+F4-1</f>
        <v>2029</v>
      </c>
      <c r="G5" s="12" t="n">
        <f aca="false">Assumptions!$C$6+G4-1</f>
        <v>2030</v>
      </c>
      <c r="H5" s="12" t="n">
        <f aca="false">Assumptions!$C$6+H4-1</f>
        <v>2031</v>
      </c>
      <c r="I5" s="12" t="n">
        <f aca="false">Assumptions!$C$6+I4-1</f>
        <v>2032</v>
      </c>
      <c r="J5" s="12" t="n">
        <f aca="false">Assumptions!$C$6+J4-1</f>
        <v>2033</v>
      </c>
      <c r="K5" s="12" t="n">
        <f aca="false">Assumptions!$C$6+K4-1</f>
        <v>2034</v>
      </c>
      <c r="L5" s="12" t="n">
        <f aca="false">Assumptions!$C$6+L4-1</f>
        <v>2035</v>
      </c>
      <c r="M5" s="12" t="n">
        <f aca="false">Assumptions!$C$6+M4-1</f>
        <v>2036</v>
      </c>
      <c r="N5" s="12" t="n">
        <f aca="false">Assumptions!$C$6+N4-1</f>
        <v>2037</v>
      </c>
      <c r="O5" s="12" t="n">
        <f aca="false">Assumptions!$C$6+O4-1</f>
        <v>2038</v>
      </c>
      <c r="P5" s="12" t="n">
        <f aca="false">Assumptions!$C$6+P4-1</f>
        <v>2039</v>
      </c>
      <c r="Q5" s="12" t="n">
        <f aca="false">Assumptions!$C$6+Q4-1</f>
        <v>2040</v>
      </c>
      <c r="R5" s="12" t="n">
        <f aca="false">Assumptions!$C$6+R4-1</f>
        <v>2041</v>
      </c>
      <c r="S5" s="12" t="n">
        <f aca="false">Assumptions!$C$6+S4-1</f>
        <v>2042</v>
      </c>
      <c r="T5" s="12" t="n">
        <f aca="false">Assumptions!$C$6+T4-1</f>
        <v>2043</v>
      </c>
      <c r="U5" s="12" t="n">
        <f aca="false">Assumptions!$C$6+U4-1</f>
        <v>2044</v>
      </c>
      <c r="V5" s="12" t="n">
        <f aca="false">Assumptions!$C$6+V4-1</f>
        <v>2045</v>
      </c>
      <c r="W5" s="12" t="n">
        <f aca="false">Assumptions!$C$6+W4-1</f>
        <v>2046</v>
      </c>
      <c r="X5" s="12" t="n">
        <f aca="false">Assumptions!$C$6+X4-1</f>
        <v>2047</v>
      </c>
      <c r="Y5" s="12" t="n">
        <f aca="false">Assumptions!$C$6+Y4-1</f>
        <v>2048</v>
      </c>
      <c r="Z5" s="12" t="n">
        <f aca="false">Assumptions!$C$6+Z4-1</f>
        <v>2049</v>
      </c>
      <c r="AA5" s="12" t="n">
        <f aca="false">Assumptions!$C$6+AA4-1</f>
        <v>2050</v>
      </c>
      <c r="AB5" s="12" t="n">
        <f aca="false">Assumptions!$C$6+AB4-1</f>
        <v>2051</v>
      </c>
      <c r="AC5" s="12" t="n">
        <f aca="false">Assumptions!$C$6+AC4-1</f>
        <v>2052</v>
      </c>
      <c r="AD5" s="12" t="n">
        <f aca="false">Assumptions!$C$6+AD4-1</f>
        <v>2053</v>
      </c>
      <c r="AE5" s="12" t="n">
        <f aca="false">Assumptions!$C$6+AE4-1</f>
        <v>2054</v>
      </c>
      <c r="AF5" s="12" t="n">
        <f aca="false">Assumptions!$C$6+AF4-1</f>
        <v>2055</v>
      </c>
      <c r="AG5" s="12" t="n">
        <f aca="false">Assumptions!$C$6+AG4-1</f>
        <v>2056</v>
      </c>
    </row>
    <row r="7" customFormat="false" ht="15" hidden="false" customHeight="true" outlineLevel="0" collapsed="false"/>
    <row r="8" customFormat="false" ht="15" hidden="false" customHeight="true" outlineLevel="0" collapsed="false">
      <c r="B8" s="13" t="s">
        <v>89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customFormat="false" ht="15" hidden="false" customHeight="true" outlineLevel="0" collapsed="false">
      <c r="B9" s="3" t="s">
        <v>90</v>
      </c>
      <c r="C9" s="15" t="n">
        <f aca="false">IF(C$4&gt;=1,Assumptions!$C$7,Assumptions!$C$57*Assumptions!$C$58)</f>
        <v>0.5</v>
      </c>
      <c r="D9" s="15" t="n">
        <f aca="false">IF(D$4&gt;=1,Assumptions!$C$7,Assumptions!$C$57*Assumptions!$C$58)</f>
        <v>4</v>
      </c>
      <c r="E9" s="15" t="n">
        <f aca="false">IF(E$4&gt;=1,Assumptions!$C$7,Assumptions!$C$57*Assumptions!$C$58)</f>
        <v>4</v>
      </c>
      <c r="F9" s="15" t="n">
        <f aca="false">IF(F$4&gt;=1,Assumptions!$C$7,Assumptions!$C$57*Assumptions!$C$58)</f>
        <v>4</v>
      </c>
      <c r="G9" s="15" t="n">
        <f aca="false">IF(G$4&gt;=1,Assumptions!$C$7,Assumptions!$C$57*Assumptions!$C$58)</f>
        <v>4</v>
      </c>
      <c r="H9" s="15" t="n">
        <f aca="false">IF(H$4&gt;=1,Assumptions!$C$7,Assumptions!$C$57*Assumptions!$C$58)</f>
        <v>4</v>
      </c>
      <c r="I9" s="15" t="n">
        <f aca="false">IF(I$4&gt;=1,Assumptions!$C$7,Assumptions!$C$57*Assumptions!$C$58)</f>
        <v>4</v>
      </c>
      <c r="J9" s="15" t="n">
        <f aca="false">IF(J$4&gt;=1,Assumptions!$C$7,Assumptions!$C$57*Assumptions!$C$58)</f>
        <v>4</v>
      </c>
      <c r="K9" s="15" t="n">
        <f aca="false">IF(K$4&gt;=1,Assumptions!$C$7,Assumptions!$C$57*Assumptions!$C$58)</f>
        <v>4</v>
      </c>
      <c r="L9" s="15" t="n">
        <f aca="false">IF(L$4&gt;=1,Assumptions!$C$7,Assumptions!$C$57*Assumptions!$C$58)</f>
        <v>4</v>
      </c>
      <c r="M9" s="15" t="n">
        <f aca="false">IF(M$4&gt;=1,Assumptions!$C$7,Assumptions!$C$57*Assumptions!$C$58)</f>
        <v>4</v>
      </c>
      <c r="N9" s="15" t="n">
        <f aca="false">IF(N$4&gt;=1,Assumptions!$C$7,Assumptions!$C$57*Assumptions!$C$58)</f>
        <v>4</v>
      </c>
      <c r="O9" s="15" t="n">
        <f aca="false">IF(O$4&gt;=1,Assumptions!$C$7,Assumptions!$C$57*Assumptions!$C$58)</f>
        <v>4</v>
      </c>
      <c r="P9" s="15" t="n">
        <f aca="false">IF(P$4&gt;=1,Assumptions!$C$7,Assumptions!$C$57*Assumptions!$C$58)</f>
        <v>4</v>
      </c>
      <c r="Q9" s="15" t="n">
        <f aca="false">IF(Q$4&gt;=1,Assumptions!$C$7,Assumptions!$C$57*Assumptions!$C$58)</f>
        <v>4</v>
      </c>
      <c r="R9" s="15" t="n">
        <f aca="false">IF(R$4&gt;=1,Assumptions!$C$7,Assumptions!$C$57*Assumptions!$C$58)</f>
        <v>4</v>
      </c>
      <c r="S9" s="15" t="n">
        <f aca="false">IF(S$4&gt;=1,Assumptions!$C$7,Assumptions!$C$57*Assumptions!$C$58)</f>
        <v>4</v>
      </c>
      <c r="T9" s="15" t="n">
        <f aca="false">IF(T$4&gt;=1,Assumptions!$C$7,Assumptions!$C$57*Assumptions!$C$58)</f>
        <v>4</v>
      </c>
      <c r="U9" s="15" t="n">
        <f aca="false">IF(U$4&gt;=1,Assumptions!$C$7,Assumptions!$C$57*Assumptions!$C$58)</f>
        <v>4</v>
      </c>
      <c r="V9" s="15" t="n">
        <f aca="false">IF(V$4&gt;=1,Assumptions!$C$7,Assumptions!$C$57*Assumptions!$C$58)</f>
        <v>4</v>
      </c>
      <c r="W9" s="15" t="n">
        <f aca="false">IF(W$4&gt;=1,Assumptions!$C$7,Assumptions!$C$57*Assumptions!$C$58)</f>
        <v>4</v>
      </c>
      <c r="X9" s="15" t="n">
        <f aca="false">IF(X$4&gt;=1,Assumptions!$C$7,Assumptions!$C$57*Assumptions!$C$58)</f>
        <v>4</v>
      </c>
      <c r="Y9" s="15" t="n">
        <f aca="false">IF(Y$4&gt;=1,Assumptions!$C$7,Assumptions!$C$57*Assumptions!$C$58)</f>
        <v>4</v>
      </c>
      <c r="Z9" s="15" t="n">
        <f aca="false">IF(Z$4&gt;=1,Assumptions!$C$7,Assumptions!$C$57*Assumptions!$C$58)</f>
        <v>4</v>
      </c>
      <c r="AA9" s="15" t="n">
        <f aca="false">IF(AA$4&gt;=1,Assumptions!$C$7,Assumptions!$C$57*Assumptions!$C$58)</f>
        <v>4</v>
      </c>
      <c r="AB9" s="15" t="n">
        <f aca="false">IF(AB$4&gt;=1,Assumptions!$C$7,Assumptions!$C$57*Assumptions!$C$58)</f>
        <v>4</v>
      </c>
      <c r="AC9" s="15" t="n">
        <f aca="false">IF(AC$4&gt;=1,Assumptions!$C$7,Assumptions!$C$57*Assumptions!$C$58)</f>
        <v>4</v>
      </c>
      <c r="AD9" s="15" t="n">
        <f aca="false">IF(AD$4&gt;=1,Assumptions!$C$7,Assumptions!$C$57*Assumptions!$C$58)</f>
        <v>4</v>
      </c>
      <c r="AE9" s="15" t="n">
        <f aca="false">IF(AE$4&gt;=1,Assumptions!$C$7,Assumptions!$C$57*Assumptions!$C$58)</f>
        <v>4</v>
      </c>
      <c r="AF9" s="15" t="n">
        <f aca="false">IF(AF$4&gt;=1,Assumptions!$C$7,Assumptions!$C$57*Assumptions!$C$58)</f>
        <v>4</v>
      </c>
      <c r="AG9" s="15" t="n">
        <f aca="false">IF(AG$4&gt;=1,Assumptions!$C$7,Assumptions!$C$57*Assumptions!$C$58)</f>
        <v>4</v>
      </c>
    </row>
    <row r="10" customFormat="false" ht="15" hidden="false" customHeight="true" outlineLevel="0" collapsed="false">
      <c r="B10" s="3" t="s">
        <v>91</v>
      </c>
      <c r="C10" s="16" t="n">
        <f aca="false">IF(AND(C$4&gt;=1,C$4&lt;=10),INDEX(Assumptions!$C$64:$L$64,1,MAX(C$4,1)),0)</f>
        <v>0</v>
      </c>
      <c r="D10" s="16" t="n">
        <f aca="false">IF(AND(D$4&gt;=1,D$4&lt;=10),INDEX(Assumptions!$C$64:$L$64,1,MAX(D$4,1)),0)</f>
        <v>2</v>
      </c>
      <c r="E10" s="16" t="n">
        <f aca="false">IF(AND(E$4&gt;=1,E$4&lt;=10),INDEX(Assumptions!$C$64:$L$64,1,MAX(E$4,1)),0)</f>
        <v>4</v>
      </c>
      <c r="F10" s="16" t="n">
        <f aca="false">IF(AND(F$4&gt;=1,F$4&lt;=10),INDEX(Assumptions!$C$64:$L$64,1,MAX(F$4,1)),0)</f>
        <v>4</v>
      </c>
      <c r="G10" s="16" t="n">
        <f aca="false">IF(AND(G$4&gt;=1,G$4&lt;=10),INDEX(Assumptions!$C$64:$L$64,1,MAX(G$4,1)),0)</f>
        <v>0</v>
      </c>
      <c r="H10" s="16" t="n">
        <f aca="false">IF(AND(H$4&gt;=1,H$4&lt;=10),INDEX(Assumptions!$C$64:$L$64,1,MAX(H$4,1)),0)</f>
        <v>0</v>
      </c>
      <c r="I10" s="16" t="n">
        <f aca="false">IF(AND(I$4&gt;=1,I$4&lt;=10),INDEX(Assumptions!$C$64:$L$64,1,MAX(I$4,1)),0)</f>
        <v>0</v>
      </c>
      <c r="J10" s="16" t="n">
        <f aca="false">IF(AND(J$4&gt;=1,J$4&lt;=10),INDEX(Assumptions!$C$64:$L$64,1,MAX(J$4,1)),0)</f>
        <v>0</v>
      </c>
      <c r="K10" s="16" t="n">
        <f aca="false">IF(AND(K$4&gt;=1,K$4&lt;=10),INDEX(Assumptions!$C$64:$L$64,1,MAX(K$4,1)),0)</f>
        <v>0</v>
      </c>
      <c r="L10" s="16" t="n">
        <f aca="false">IF(AND(L$4&gt;=1,L$4&lt;=10),INDEX(Assumptions!$C$64:$L$64,1,MAX(L$4,1)),0)</f>
        <v>0</v>
      </c>
      <c r="M10" s="16" t="n">
        <f aca="false">IF(AND(M$4&gt;=1,M$4&lt;=10),INDEX(Assumptions!$C$64:$L$64,1,MAX(M$4,1)),0)</f>
        <v>0</v>
      </c>
      <c r="N10" s="16" t="n">
        <f aca="false">IF(AND(N$4&gt;=1,N$4&lt;=10),INDEX(Assumptions!$C$64:$L$64,1,MAX(N$4,1)),0)</f>
        <v>0</v>
      </c>
      <c r="O10" s="16" t="n">
        <f aca="false">IF(AND(O$4&gt;=1,O$4&lt;=10),INDEX(Assumptions!$C$64:$L$64,1,MAX(O$4,1)),0)</f>
        <v>0</v>
      </c>
      <c r="P10" s="16" t="n">
        <f aca="false">IF(AND(P$4&gt;=1,P$4&lt;=10),INDEX(Assumptions!$C$64:$L$64,1,MAX(P$4,1)),0)</f>
        <v>0</v>
      </c>
      <c r="Q10" s="16" t="n">
        <f aca="false">IF(AND(Q$4&gt;=1,Q$4&lt;=10),INDEX(Assumptions!$C$64:$L$64,1,MAX(Q$4,1)),0)</f>
        <v>0</v>
      </c>
      <c r="R10" s="16" t="n">
        <f aca="false">IF(AND(R$4&gt;=1,R$4&lt;=10),INDEX(Assumptions!$C$64:$L$64,1,MAX(R$4,1)),0)</f>
        <v>0</v>
      </c>
      <c r="S10" s="16" t="n">
        <f aca="false">IF(AND(S$4&gt;=1,S$4&lt;=10),INDEX(Assumptions!$C$64:$L$64,1,MAX(S$4,1)),0)</f>
        <v>0</v>
      </c>
      <c r="T10" s="16" t="n">
        <f aca="false">IF(AND(T$4&gt;=1,T$4&lt;=10),INDEX(Assumptions!$C$64:$L$64,1,MAX(T$4,1)),0)</f>
        <v>0</v>
      </c>
      <c r="U10" s="16" t="n">
        <f aca="false">IF(AND(U$4&gt;=1,U$4&lt;=10),INDEX(Assumptions!$C$64:$L$64,1,MAX(U$4,1)),0)</f>
        <v>0</v>
      </c>
      <c r="V10" s="16" t="n">
        <f aca="false">IF(AND(V$4&gt;=1,V$4&lt;=10),INDEX(Assumptions!$C$64:$L$64,1,MAX(V$4,1)),0)</f>
        <v>0</v>
      </c>
      <c r="W10" s="16" t="n">
        <f aca="false">IF(AND(W$4&gt;=1,W$4&lt;=10),INDEX(Assumptions!$C$64:$L$64,1,MAX(W$4,1)),0)</f>
        <v>0</v>
      </c>
      <c r="X10" s="16" t="n">
        <f aca="false">IF(AND(X$4&gt;=1,X$4&lt;=10),INDEX(Assumptions!$C$64:$L$64,1,MAX(X$4,1)),0)</f>
        <v>0</v>
      </c>
      <c r="Y10" s="16" t="n">
        <f aca="false">IF(AND(Y$4&gt;=1,Y$4&lt;=10),INDEX(Assumptions!$C$64:$L$64,1,MAX(Y$4,1)),0)</f>
        <v>0</v>
      </c>
      <c r="Z10" s="16" t="n">
        <f aca="false">IF(AND(Z$4&gt;=1,Z$4&lt;=10),INDEX(Assumptions!$C$64:$L$64,1,MAX(Z$4,1)),0)</f>
        <v>0</v>
      </c>
      <c r="AA10" s="16" t="n">
        <f aca="false">IF(AND(AA$4&gt;=1,AA$4&lt;=10),INDEX(Assumptions!$C$64:$L$64,1,MAX(AA$4,1)),0)</f>
        <v>0</v>
      </c>
      <c r="AB10" s="16" t="n">
        <f aca="false">IF(AND(AB$4&gt;=1,AB$4&lt;=10),INDEX(Assumptions!$C$64:$L$64,1,MAX(AB$4,1)),0)</f>
        <v>0</v>
      </c>
      <c r="AC10" s="16" t="n">
        <f aca="false">IF(AND(AC$4&gt;=1,AC$4&lt;=10),INDEX(Assumptions!$C$64:$L$64,1,MAX(AC$4,1)),0)</f>
        <v>0</v>
      </c>
      <c r="AD10" s="16" t="n">
        <f aca="false">IF(AND(AD$4&gt;=1,AD$4&lt;=10),INDEX(Assumptions!$C$64:$L$64,1,MAX(AD$4,1)),0)</f>
        <v>0</v>
      </c>
      <c r="AE10" s="16" t="n">
        <f aca="false">IF(AND(AE$4&gt;=1,AE$4&lt;=10),INDEX(Assumptions!$C$64:$L$64,1,MAX(AE$4,1)),0)</f>
        <v>0</v>
      </c>
      <c r="AF10" s="16" t="n">
        <f aca="false">IF(AND(AF$4&gt;=1,AF$4&lt;=10),INDEX(Assumptions!$C$64:$L$64,1,MAX(AF$4,1)),0)</f>
        <v>0</v>
      </c>
      <c r="AG10" s="16" t="n">
        <f aca="false">IF(AND(AG$4&gt;=1,AG$4&lt;=10),INDEX(Assumptions!$C$64:$L$64,1,MAX(AG$4,1)),0)</f>
        <v>0</v>
      </c>
    </row>
    <row r="11" customFormat="false" ht="15" hidden="false" customHeight="true" outlineLevel="0" collapsed="false">
      <c r="B11" s="3" t="s">
        <v>81</v>
      </c>
      <c r="C11" s="16" t="n">
        <f aca="false">IF(AND(C$4&gt;=1,C$4&lt;=10),INDEX(Assumptions!$C$65:$L$65,1,MAX(C$4,1)),1)</f>
        <v>1</v>
      </c>
      <c r="D11" s="16" t="n">
        <f aca="false">IF(AND(D$4&gt;=1,D$4&lt;=10),INDEX(Assumptions!$C$65:$L$65,1,MAX(D$4,1)),1)</f>
        <v>9</v>
      </c>
      <c r="E11" s="16" t="n">
        <f aca="false">IF(AND(E$4&gt;=1,E$4&lt;=10),INDEX(Assumptions!$C$65:$L$65,1,MAX(E$4,1)),1)</f>
        <v>7</v>
      </c>
      <c r="F11" s="16" t="n">
        <f aca="false">IF(AND(F$4&gt;=1,F$4&lt;=10),INDEX(Assumptions!$C$65:$L$65,1,MAX(F$4,1)),1)</f>
        <v>5</v>
      </c>
      <c r="G11" s="16" t="n">
        <f aca="false">IF(AND(G$4&gt;=1,G$4&lt;=10),INDEX(Assumptions!$C$65:$L$65,1,MAX(G$4,1)),1)</f>
        <v>1</v>
      </c>
      <c r="H11" s="16" t="n">
        <f aca="false">IF(AND(H$4&gt;=1,H$4&lt;=10),INDEX(Assumptions!$C$65:$L$65,1,MAX(H$4,1)),1)</f>
        <v>1</v>
      </c>
      <c r="I11" s="16" t="n">
        <f aca="false">IF(AND(I$4&gt;=1,I$4&lt;=10),INDEX(Assumptions!$C$65:$L$65,1,MAX(I$4,1)),1)</f>
        <v>1</v>
      </c>
      <c r="J11" s="16" t="n">
        <f aca="false">IF(AND(J$4&gt;=1,J$4&lt;=10),INDEX(Assumptions!$C$65:$L$65,1,MAX(J$4,1)),1)</f>
        <v>1</v>
      </c>
      <c r="K11" s="16" t="n">
        <f aca="false">IF(AND(K$4&gt;=1,K$4&lt;=10),INDEX(Assumptions!$C$65:$L$65,1,MAX(K$4,1)),1)</f>
        <v>1</v>
      </c>
      <c r="L11" s="16" t="n">
        <f aca="false">IF(AND(L$4&gt;=1,L$4&lt;=10),INDEX(Assumptions!$C$65:$L$65,1,MAX(L$4,1)),1)</f>
        <v>1</v>
      </c>
      <c r="M11" s="16" t="n">
        <f aca="false">IF(AND(M$4&gt;=1,M$4&lt;=10),INDEX(Assumptions!$C$65:$L$65,1,MAX(M$4,1)),1)</f>
        <v>1</v>
      </c>
      <c r="N11" s="16" t="n">
        <f aca="false">IF(AND(N$4&gt;=1,N$4&lt;=10),INDEX(Assumptions!$C$65:$L$65,1,MAX(N$4,1)),1)</f>
        <v>1</v>
      </c>
      <c r="O11" s="16" t="n">
        <f aca="false">IF(AND(O$4&gt;=1,O$4&lt;=10),INDEX(Assumptions!$C$65:$L$65,1,MAX(O$4,1)),1)</f>
        <v>1</v>
      </c>
      <c r="P11" s="16" t="n">
        <f aca="false">IF(AND(P$4&gt;=1,P$4&lt;=10),INDEX(Assumptions!$C$65:$L$65,1,MAX(P$4,1)),1)</f>
        <v>1</v>
      </c>
      <c r="Q11" s="16" t="n">
        <f aca="false">IF(AND(Q$4&gt;=1,Q$4&lt;=10),INDEX(Assumptions!$C$65:$L$65,1,MAX(Q$4,1)),1)</f>
        <v>1</v>
      </c>
      <c r="R11" s="16" t="n">
        <f aca="false">IF(AND(R$4&gt;=1,R$4&lt;=10),INDEX(Assumptions!$C$65:$L$65,1,MAX(R$4,1)),1)</f>
        <v>1</v>
      </c>
      <c r="S11" s="16" t="n">
        <f aca="false">IF(AND(S$4&gt;=1,S$4&lt;=10),INDEX(Assumptions!$C$65:$L$65,1,MAX(S$4,1)),1)</f>
        <v>1</v>
      </c>
      <c r="T11" s="16" t="n">
        <f aca="false">IF(AND(T$4&gt;=1,T$4&lt;=10),INDEX(Assumptions!$C$65:$L$65,1,MAX(T$4,1)),1)</f>
        <v>1</v>
      </c>
      <c r="U11" s="16" t="n">
        <f aca="false">IF(AND(U$4&gt;=1,U$4&lt;=10),INDEX(Assumptions!$C$65:$L$65,1,MAX(U$4,1)),1)</f>
        <v>1</v>
      </c>
      <c r="V11" s="16" t="n">
        <f aca="false">IF(AND(V$4&gt;=1,V$4&lt;=10),INDEX(Assumptions!$C$65:$L$65,1,MAX(V$4,1)),1)</f>
        <v>1</v>
      </c>
      <c r="W11" s="16" t="n">
        <f aca="false">IF(AND(W$4&gt;=1,W$4&lt;=10),INDEX(Assumptions!$C$65:$L$65,1,MAX(W$4,1)),1)</f>
        <v>1</v>
      </c>
      <c r="X11" s="16" t="n">
        <f aca="false">IF(AND(X$4&gt;=1,X$4&lt;=10),INDEX(Assumptions!$C$65:$L$65,1,MAX(X$4,1)),1)</f>
        <v>1</v>
      </c>
      <c r="Y11" s="16" t="n">
        <f aca="false">IF(AND(Y$4&gt;=1,Y$4&lt;=10),INDEX(Assumptions!$C$65:$L$65,1,MAX(Y$4,1)),1)</f>
        <v>1</v>
      </c>
      <c r="Z11" s="16" t="n">
        <f aca="false">IF(AND(Z$4&gt;=1,Z$4&lt;=10),INDEX(Assumptions!$C$65:$L$65,1,MAX(Z$4,1)),1)</f>
        <v>1</v>
      </c>
      <c r="AA11" s="16" t="n">
        <f aca="false">IF(AND(AA$4&gt;=1,AA$4&lt;=10),INDEX(Assumptions!$C$65:$L$65,1,MAX(AA$4,1)),1)</f>
        <v>1</v>
      </c>
      <c r="AB11" s="16" t="n">
        <f aca="false">IF(AND(AB$4&gt;=1,AB$4&lt;=10),INDEX(Assumptions!$C$65:$L$65,1,MAX(AB$4,1)),1)</f>
        <v>1</v>
      </c>
      <c r="AC11" s="16" t="n">
        <f aca="false">IF(AND(AC$4&gt;=1,AC$4&lt;=10),INDEX(Assumptions!$C$65:$L$65,1,MAX(AC$4,1)),1)</f>
        <v>1</v>
      </c>
      <c r="AD11" s="16" t="n">
        <f aca="false">IF(AND(AD$4&gt;=1,AD$4&lt;=10),INDEX(Assumptions!$C$65:$L$65,1,MAX(AD$4,1)),1)</f>
        <v>1</v>
      </c>
      <c r="AE11" s="16" t="n">
        <f aca="false">IF(AND(AE$4&gt;=1,AE$4&lt;=10),INDEX(Assumptions!$C$65:$L$65,1,MAX(AE$4,1)),1)</f>
        <v>1</v>
      </c>
      <c r="AF11" s="16" t="n">
        <f aca="false">IF(AND(AF$4&gt;=1,AF$4&lt;=10),INDEX(Assumptions!$C$65:$L$65,1,MAX(AF$4,1)),1)</f>
        <v>1</v>
      </c>
      <c r="AG11" s="16" t="n">
        <f aca="false">IF(AND(AG$4&gt;=1,AG$4&lt;=10),INDEX(Assumptions!$C$65:$L$65,1,MAX(AG$4,1)),1)</f>
        <v>1</v>
      </c>
    </row>
    <row r="12" customFormat="false" ht="15" hidden="false" customHeight="true" outlineLevel="0" collapsed="false">
      <c r="B12" s="3" t="s">
        <v>92</v>
      </c>
      <c r="C12" s="16" t="n">
        <f aca="false">0</f>
        <v>0</v>
      </c>
      <c r="D12" s="16" t="n">
        <f aca="false">C12+C10</f>
        <v>0</v>
      </c>
      <c r="E12" s="16" t="n">
        <f aca="false">D12+D10</f>
        <v>2</v>
      </c>
      <c r="F12" s="16" t="n">
        <f aca="false">E12+E10</f>
        <v>6</v>
      </c>
      <c r="G12" s="16" t="n">
        <f aca="false">F12+F10</f>
        <v>10</v>
      </c>
      <c r="H12" s="16" t="n">
        <f aca="false">G12+G10</f>
        <v>10</v>
      </c>
      <c r="I12" s="16" t="n">
        <f aca="false">H12+H10</f>
        <v>10</v>
      </c>
      <c r="J12" s="16" t="n">
        <f aca="false">I12+I10</f>
        <v>10</v>
      </c>
      <c r="K12" s="16" t="n">
        <f aca="false">J12+J10</f>
        <v>10</v>
      </c>
      <c r="L12" s="16" t="n">
        <f aca="false">K12+K10</f>
        <v>10</v>
      </c>
      <c r="M12" s="16" t="n">
        <f aca="false">L12+L10</f>
        <v>10</v>
      </c>
      <c r="N12" s="16" t="n">
        <f aca="false">M12+M10</f>
        <v>10</v>
      </c>
      <c r="O12" s="16" t="n">
        <f aca="false">N12+N10</f>
        <v>10</v>
      </c>
      <c r="P12" s="16" t="n">
        <f aca="false">O12+O10</f>
        <v>10</v>
      </c>
      <c r="Q12" s="16" t="n">
        <f aca="false">P12+P10</f>
        <v>10</v>
      </c>
      <c r="R12" s="16" t="n">
        <f aca="false">Q12+Q10</f>
        <v>10</v>
      </c>
      <c r="S12" s="16" t="n">
        <f aca="false">R12+R10</f>
        <v>10</v>
      </c>
      <c r="T12" s="16" t="n">
        <f aca="false">S12+S10</f>
        <v>10</v>
      </c>
      <c r="U12" s="16" t="n">
        <f aca="false">T12+T10</f>
        <v>10</v>
      </c>
      <c r="V12" s="16" t="n">
        <f aca="false">U12+U10</f>
        <v>10</v>
      </c>
      <c r="W12" s="16" t="n">
        <f aca="false">V12+V10</f>
        <v>10</v>
      </c>
      <c r="X12" s="16" t="n">
        <f aca="false">W12+W10</f>
        <v>10</v>
      </c>
      <c r="Y12" s="16" t="n">
        <f aca="false">X12+X10</f>
        <v>10</v>
      </c>
      <c r="Z12" s="16" t="n">
        <f aca="false">Y12+Y10</f>
        <v>10</v>
      </c>
      <c r="AA12" s="16" t="n">
        <f aca="false">Z12+Z10</f>
        <v>10</v>
      </c>
      <c r="AB12" s="16" t="n">
        <f aca="false">AA12+AA10</f>
        <v>10</v>
      </c>
      <c r="AC12" s="16" t="n">
        <f aca="false">AB12+AB10</f>
        <v>10</v>
      </c>
      <c r="AD12" s="16" t="n">
        <f aca="false">AC12+AC10</f>
        <v>10</v>
      </c>
      <c r="AE12" s="16" t="n">
        <f aca="false">AD12+AD10</f>
        <v>10</v>
      </c>
      <c r="AF12" s="16" t="n">
        <f aca="false">AE12+AE10</f>
        <v>10</v>
      </c>
      <c r="AG12" s="16" t="n">
        <f aca="false">AF12+AF10</f>
        <v>10</v>
      </c>
    </row>
    <row r="13" customFormat="false" ht="15" hidden="false" customHeight="true" outlineLevel="0" collapsed="false">
      <c r="B13" s="3" t="s">
        <v>93</v>
      </c>
      <c r="C13" s="15" t="n">
        <f aca="false">C12+C10*(13-C11)/12</f>
        <v>0</v>
      </c>
      <c r="D13" s="15" t="n">
        <f aca="false">D12+D10*(13-D11)/12</f>
        <v>0.666666666666667</v>
      </c>
      <c r="E13" s="15" t="n">
        <f aca="false">E12+E10*(13-E11)/12</f>
        <v>4</v>
      </c>
      <c r="F13" s="15" t="n">
        <f aca="false">F12+F10*(13-F11)/12</f>
        <v>8.66666666666667</v>
      </c>
      <c r="G13" s="15" t="n">
        <f aca="false">G12+G10*(13-G11)/12</f>
        <v>10</v>
      </c>
      <c r="H13" s="15" t="n">
        <f aca="false">H12+H10*(13-H11)/12</f>
        <v>10</v>
      </c>
      <c r="I13" s="15" t="n">
        <f aca="false">I12+I10*(13-I11)/12</f>
        <v>10</v>
      </c>
      <c r="J13" s="15" t="n">
        <f aca="false">J12+J10*(13-J11)/12</f>
        <v>10</v>
      </c>
      <c r="K13" s="15" t="n">
        <f aca="false">K12+K10*(13-K11)/12</f>
        <v>10</v>
      </c>
      <c r="L13" s="15" t="n">
        <f aca="false">L12+L10*(13-L11)/12</f>
        <v>10</v>
      </c>
      <c r="M13" s="15" t="n">
        <f aca="false">M12+M10*(13-M11)/12</f>
        <v>10</v>
      </c>
      <c r="N13" s="15" t="n">
        <f aca="false">N12+N10*(13-N11)/12</f>
        <v>10</v>
      </c>
      <c r="O13" s="15" t="n">
        <f aca="false">O12+O10*(13-O11)/12</f>
        <v>10</v>
      </c>
      <c r="P13" s="15" t="n">
        <f aca="false">P12+P10*(13-P11)/12</f>
        <v>10</v>
      </c>
      <c r="Q13" s="15" t="n">
        <f aca="false">Q12+Q10*(13-Q11)/12</f>
        <v>10</v>
      </c>
      <c r="R13" s="15" t="n">
        <f aca="false">R12+R10*(13-R11)/12</f>
        <v>10</v>
      </c>
      <c r="S13" s="15" t="n">
        <f aca="false">S12+S10*(13-S11)/12</f>
        <v>10</v>
      </c>
      <c r="T13" s="15" t="n">
        <f aca="false">T12+T10*(13-T11)/12</f>
        <v>10</v>
      </c>
      <c r="U13" s="15" t="n">
        <f aca="false">U12+U10*(13-U11)/12</f>
        <v>10</v>
      </c>
      <c r="V13" s="15" t="n">
        <f aca="false">V12+V10*(13-V11)/12</f>
        <v>10</v>
      </c>
      <c r="W13" s="15" t="n">
        <f aca="false">W12+W10*(13-W11)/12</f>
        <v>10</v>
      </c>
      <c r="X13" s="15" t="n">
        <f aca="false">X12+X10*(13-X11)/12</f>
        <v>10</v>
      </c>
      <c r="Y13" s="15" t="n">
        <f aca="false">Y12+Y10*(13-Y11)/12</f>
        <v>10</v>
      </c>
      <c r="Z13" s="15" t="n">
        <f aca="false">Z12+Z10*(13-Z11)/12</f>
        <v>10</v>
      </c>
      <c r="AA13" s="15" t="n">
        <f aca="false">AA12+AA10*(13-AA11)/12</f>
        <v>10</v>
      </c>
      <c r="AB13" s="15" t="n">
        <f aca="false">AB12+AB10*(13-AB11)/12</f>
        <v>10</v>
      </c>
      <c r="AC13" s="15" t="n">
        <f aca="false">AC12+AC10*(13-AC11)/12</f>
        <v>10</v>
      </c>
      <c r="AD13" s="15" t="n">
        <f aca="false">AD12+AD10*(13-AD11)/12</f>
        <v>10</v>
      </c>
      <c r="AE13" s="15" t="n">
        <f aca="false">AE12+AE10*(13-AE11)/12</f>
        <v>10</v>
      </c>
      <c r="AF13" s="15" t="n">
        <f aca="false">AF12+AF10*(13-AF11)/12</f>
        <v>10</v>
      </c>
      <c r="AG13" s="15" t="n">
        <f aca="false">AG12+AG10*(13-AG11)/12</f>
        <v>10</v>
      </c>
    </row>
    <row r="14" customFormat="false" ht="15" hidden="false" customHeight="true" outlineLevel="0" collapsed="false">
      <c r="B14" s="3" t="s">
        <v>94</v>
      </c>
      <c r="C14" s="16" t="n">
        <f aca="false">IF(C$4=0,Assumptions!$C$57,Assumptions!$C$7)+C12+C10</f>
        <v>2</v>
      </c>
      <c r="D14" s="16" t="n">
        <f aca="false">IF(D$4=0,Assumptions!$C$57,Assumptions!$C$7)+D12+D10</f>
        <v>6</v>
      </c>
      <c r="E14" s="16" t="n">
        <f aca="false">IF(E$4=0,Assumptions!$C$57,Assumptions!$C$7)+E12+E10</f>
        <v>10</v>
      </c>
      <c r="F14" s="16" t="n">
        <f aca="false">IF(F$4=0,Assumptions!$C$57,Assumptions!$C$7)+F12+F10</f>
        <v>14</v>
      </c>
      <c r="G14" s="16" t="n">
        <f aca="false">IF(G$4=0,Assumptions!$C$57,Assumptions!$C$7)+G12+G10</f>
        <v>14</v>
      </c>
      <c r="H14" s="16" t="n">
        <f aca="false">IF(H$4=0,Assumptions!$C$57,Assumptions!$C$7)+H12+H10</f>
        <v>14</v>
      </c>
      <c r="I14" s="16" t="n">
        <f aca="false">IF(I$4=0,Assumptions!$C$57,Assumptions!$C$7)+I12+I10</f>
        <v>14</v>
      </c>
      <c r="J14" s="16" t="n">
        <f aca="false">IF(J$4=0,Assumptions!$C$57,Assumptions!$C$7)+J12+J10</f>
        <v>14</v>
      </c>
      <c r="K14" s="16" t="n">
        <f aca="false">IF(K$4=0,Assumptions!$C$57,Assumptions!$C$7)+K12+K10</f>
        <v>14</v>
      </c>
      <c r="L14" s="16" t="n">
        <f aca="false">IF(L$4=0,Assumptions!$C$57,Assumptions!$C$7)+L12+L10</f>
        <v>14</v>
      </c>
      <c r="M14" s="16" t="n">
        <f aca="false">IF(M$4=0,Assumptions!$C$57,Assumptions!$C$7)+M12+M10</f>
        <v>14</v>
      </c>
      <c r="N14" s="16" t="n">
        <f aca="false">IF(N$4=0,Assumptions!$C$57,Assumptions!$C$7)+N12+N10</f>
        <v>14</v>
      </c>
      <c r="O14" s="16" t="n">
        <f aca="false">IF(O$4=0,Assumptions!$C$57,Assumptions!$C$7)+O12+O10</f>
        <v>14</v>
      </c>
      <c r="P14" s="16" t="n">
        <f aca="false">IF(P$4=0,Assumptions!$C$57,Assumptions!$C$7)+P12+P10</f>
        <v>14</v>
      </c>
      <c r="Q14" s="16" t="n">
        <f aca="false">IF(Q$4=0,Assumptions!$C$57,Assumptions!$C$7)+Q12+Q10</f>
        <v>14</v>
      </c>
      <c r="R14" s="16" t="n">
        <f aca="false">IF(R$4=0,Assumptions!$C$57,Assumptions!$C$7)+R12+R10</f>
        <v>14</v>
      </c>
      <c r="S14" s="16" t="n">
        <f aca="false">IF(S$4=0,Assumptions!$C$57,Assumptions!$C$7)+S12+S10</f>
        <v>14</v>
      </c>
      <c r="T14" s="16" t="n">
        <f aca="false">IF(T$4=0,Assumptions!$C$57,Assumptions!$C$7)+T12+T10</f>
        <v>14</v>
      </c>
      <c r="U14" s="16" t="n">
        <f aca="false">IF(U$4=0,Assumptions!$C$57,Assumptions!$C$7)+U12+U10</f>
        <v>14</v>
      </c>
      <c r="V14" s="16" t="n">
        <f aca="false">IF(V$4=0,Assumptions!$C$57,Assumptions!$C$7)+V12+V10</f>
        <v>14</v>
      </c>
      <c r="W14" s="16" t="n">
        <f aca="false">IF(W$4=0,Assumptions!$C$57,Assumptions!$C$7)+W12+W10</f>
        <v>14</v>
      </c>
      <c r="X14" s="16" t="n">
        <f aca="false">IF(X$4=0,Assumptions!$C$57,Assumptions!$C$7)+X12+X10</f>
        <v>14</v>
      </c>
      <c r="Y14" s="16" t="n">
        <f aca="false">IF(Y$4=0,Assumptions!$C$57,Assumptions!$C$7)+Y12+Y10</f>
        <v>14</v>
      </c>
      <c r="Z14" s="16" t="n">
        <f aca="false">IF(Z$4=0,Assumptions!$C$57,Assumptions!$C$7)+Z12+Z10</f>
        <v>14</v>
      </c>
      <c r="AA14" s="16" t="n">
        <f aca="false">IF(AA$4=0,Assumptions!$C$57,Assumptions!$C$7)+AA12+AA10</f>
        <v>14</v>
      </c>
      <c r="AB14" s="16" t="n">
        <f aca="false">IF(AB$4=0,Assumptions!$C$57,Assumptions!$C$7)+AB12+AB10</f>
        <v>14</v>
      </c>
      <c r="AC14" s="16" t="n">
        <f aca="false">IF(AC$4=0,Assumptions!$C$57,Assumptions!$C$7)+AC12+AC10</f>
        <v>14</v>
      </c>
      <c r="AD14" s="16" t="n">
        <f aca="false">IF(AD$4=0,Assumptions!$C$57,Assumptions!$C$7)+AD12+AD10</f>
        <v>14</v>
      </c>
      <c r="AE14" s="16" t="n">
        <f aca="false">IF(AE$4=0,Assumptions!$C$57,Assumptions!$C$7)+AE12+AE10</f>
        <v>14</v>
      </c>
      <c r="AF14" s="16" t="n">
        <f aca="false">IF(AF$4=0,Assumptions!$C$57,Assumptions!$C$7)+AF12+AF10</f>
        <v>14</v>
      </c>
      <c r="AG14" s="16" t="n">
        <f aca="false">IF(AG$4=0,Assumptions!$C$57,Assumptions!$C$7)+AG12+AG10</f>
        <v>14</v>
      </c>
    </row>
    <row r="15" customFormat="false" ht="15" hidden="false" customHeight="true" outlineLevel="0" collapsed="false">
      <c r="B15" s="8" t="s">
        <v>95</v>
      </c>
      <c r="C15" s="17" t="n">
        <f aca="false">C9+C13</f>
        <v>0.5</v>
      </c>
      <c r="D15" s="17" t="n">
        <f aca="false">D9+D13</f>
        <v>4.66666666666667</v>
      </c>
      <c r="E15" s="17" t="n">
        <f aca="false">E9+E13</f>
        <v>8</v>
      </c>
      <c r="F15" s="17" t="n">
        <f aca="false">F9+F13</f>
        <v>12.6666666666667</v>
      </c>
      <c r="G15" s="17" t="n">
        <f aca="false">G9+G13</f>
        <v>14</v>
      </c>
      <c r="H15" s="17" t="n">
        <f aca="false">H9+H13</f>
        <v>14</v>
      </c>
      <c r="I15" s="17" t="n">
        <f aca="false">I9+I13</f>
        <v>14</v>
      </c>
      <c r="J15" s="17" t="n">
        <f aca="false">J9+J13</f>
        <v>14</v>
      </c>
      <c r="K15" s="17" t="n">
        <f aca="false">K9+K13</f>
        <v>14</v>
      </c>
      <c r="L15" s="17" t="n">
        <f aca="false">L9+L13</f>
        <v>14</v>
      </c>
      <c r="M15" s="17" t="n">
        <f aca="false">M9+M13</f>
        <v>14</v>
      </c>
      <c r="N15" s="17" t="n">
        <f aca="false">N9+N13</f>
        <v>14</v>
      </c>
      <c r="O15" s="17" t="n">
        <f aca="false">O9+O13</f>
        <v>14</v>
      </c>
      <c r="P15" s="17" t="n">
        <f aca="false">P9+P13</f>
        <v>14</v>
      </c>
      <c r="Q15" s="17" t="n">
        <f aca="false">Q9+Q13</f>
        <v>14</v>
      </c>
      <c r="R15" s="17" t="n">
        <f aca="false">R9+R13</f>
        <v>14</v>
      </c>
      <c r="S15" s="17" t="n">
        <f aca="false">S9+S13</f>
        <v>14</v>
      </c>
      <c r="T15" s="17" t="n">
        <f aca="false">T9+T13</f>
        <v>14</v>
      </c>
      <c r="U15" s="17" t="n">
        <f aca="false">U9+U13</f>
        <v>14</v>
      </c>
      <c r="V15" s="17" t="n">
        <f aca="false">V9+V13</f>
        <v>14</v>
      </c>
      <c r="W15" s="17" t="n">
        <f aca="false">W9+W13</f>
        <v>14</v>
      </c>
      <c r="X15" s="17" t="n">
        <f aca="false">X9+X13</f>
        <v>14</v>
      </c>
      <c r="Y15" s="17" t="n">
        <f aca="false">Y9+Y13</f>
        <v>14</v>
      </c>
      <c r="Z15" s="17" t="n">
        <f aca="false">Z9+Z13</f>
        <v>14</v>
      </c>
      <c r="AA15" s="17" t="n">
        <f aca="false">AA9+AA13</f>
        <v>14</v>
      </c>
      <c r="AB15" s="17" t="n">
        <f aca="false">AB9+AB13</f>
        <v>14</v>
      </c>
      <c r="AC15" s="17" t="n">
        <f aca="false">AC9+AC13</f>
        <v>14</v>
      </c>
      <c r="AD15" s="17" t="n">
        <f aca="false">AD9+AD13</f>
        <v>14</v>
      </c>
      <c r="AE15" s="17" t="n">
        <f aca="false">AE9+AE13</f>
        <v>14</v>
      </c>
      <c r="AF15" s="17" t="n">
        <f aca="false">AF9+AF13</f>
        <v>14</v>
      </c>
      <c r="AG15" s="17" t="n">
        <f aca="false">AG9+AG13</f>
        <v>14</v>
      </c>
    </row>
    <row r="16" customFormat="false" ht="15" hidden="false" customHeight="true" outlineLevel="0" collapsed="false">
      <c r="B16" s="3" t="s">
        <v>96</v>
      </c>
      <c r="C16" s="16" t="n">
        <f aca="false">INDEX(Assumptions!$C$35:$E$40,MIN(MAX(C$4,1),6),1)</f>
        <v>14</v>
      </c>
      <c r="D16" s="16" t="n">
        <f aca="false">INDEX(Assumptions!$C$35:$E$40,MIN(MAX(D$4,1),6),1)</f>
        <v>14</v>
      </c>
      <c r="E16" s="16" t="n">
        <f aca="false">INDEX(Assumptions!$C$35:$E$40,MIN(MAX(E$4,1),6),1)</f>
        <v>15</v>
      </c>
      <c r="F16" s="16" t="n">
        <f aca="false">INDEX(Assumptions!$C$35:$E$40,MIN(MAX(F$4,1),6),1)</f>
        <v>16</v>
      </c>
      <c r="G16" s="16" t="n">
        <f aca="false">INDEX(Assumptions!$C$35:$E$40,MIN(MAX(G$4,1),6),1)</f>
        <v>16</v>
      </c>
      <c r="H16" s="16" t="n">
        <f aca="false">INDEX(Assumptions!$C$35:$E$40,MIN(MAX(H$4,1),6),1)</f>
        <v>16</v>
      </c>
      <c r="I16" s="16" t="n">
        <f aca="false">INDEX(Assumptions!$C$35:$E$40,MIN(MAX(I$4,1),6),1)</f>
        <v>16</v>
      </c>
      <c r="J16" s="16" t="n">
        <f aca="false">INDEX(Assumptions!$C$35:$E$40,MIN(MAX(J$4,1),6),1)</f>
        <v>16</v>
      </c>
      <c r="K16" s="16" t="n">
        <f aca="false">INDEX(Assumptions!$C$35:$E$40,MIN(MAX(K$4,1),6),1)</f>
        <v>16</v>
      </c>
      <c r="L16" s="16" t="n">
        <f aca="false">INDEX(Assumptions!$C$35:$E$40,MIN(MAX(L$4,1),6),1)</f>
        <v>16</v>
      </c>
      <c r="M16" s="16" t="n">
        <f aca="false">INDEX(Assumptions!$C$35:$E$40,MIN(MAX(M$4,1),6),1)</f>
        <v>16</v>
      </c>
      <c r="N16" s="16" t="n">
        <f aca="false">INDEX(Assumptions!$C$35:$E$40,MIN(MAX(N$4,1),6),1)</f>
        <v>16</v>
      </c>
      <c r="O16" s="16" t="n">
        <f aca="false">INDEX(Assumptions!$C$35:$E$40,MIN(MAX(O$4,1),6),1)</f>
        <v>16</v>
      </c>
      <c r="P16" s="16" t="n">
        <f aca="false">INDEX(Assumptions!$C$35:$E$40,MIN(MAX(P$4,1),6),1)</f>
        <v>16</v>
      </c>
      <c r="Q16" s="16" t="n">
        <f aca="false">INDEX(Assumptions!$C$35:$E$40,MIN(MAX(Q$4,1),6),1)</f>
        <v>16</v>
      </c>
      <c r="R16" s="16" t="n">
        <f aca="false">INDEX(Assumptions!$C$35:$E$40,MIN(MAX(R$4,1),6),1)</f>
        <v>16</v>
      </c>
      <c r="S16" s="16" t="n">
        <f aca="false">INDEX(Assumptions!$C$35:$E$40,MIN(MAX(S$4,1),6),1)</f>
        <v>16</v>
      </c>
      <c r="T16" s="16" t="n">
        <f aca="false">INDEX(Assumptions!$C$35:$E$40,MIN(MAX(T$4,1),6),1)</f>
        <v>16</v>
      </c>
      <c r="U16" s="16" t="n">
        <f aca="false">INDEX(Assumptions!$C$35:$E$40,MIN(MAX(U$4,1),6),1)</f>
        <v>16</v>
      </c>
      <c r="V16" s="16" t="n">
        <f aca="false">INDEX(Assumptions!$C$35:$E$40,MIN(MAX(V$4,1),6),1)</f>
        <v>16</v>
      </c>
      <c r="W16" s="16" t="n">
        <f aca="false">INDEX(Assumptions!$C$35:$E$40,MIN(MAX(W$4,1),6),1)</f>
        <v>16</v>
      </c>
      <c r="X16" s="16" t="n">
        <f aca="false">INDEX(Assumptions!$C$35:$E$40,MIN(MAX(X$4,1),6),1)</f>
        <v>16</v>
      </c>
      <c r="Y16" s="16" t="n">
        <f aca="false">INDEX(Assumptions!$C$35:$E$40,MIN(MAX(Y$4,1),6),1)</f>
        <v>16</v>
      </c>
      <c r="Z16" s="16" t="n">
        <f aca="false">INDEX(Assumptions!$C$35:$E$40,MIN(MAX(Z$4,1),6),1)</f>
        <v>16</v>
      </c>
      <c r="AA16" s="16" t="n">
        <f aca="false">INDEX(Assumptions!$C$35:$E$40,MIN(MAX(AA$4,1),6),1)</f>
        <v>16</v>
      </c>
      <c r="AB16" s="16" t="n">
        <f aca="false">INDEX(Assumptions!$C$35:$E$40,MIN(MAX(AB$4,1),6),1)</f>
        <v>16</v>
      </c>
      <c r="AC16" s="16" t="n">
        <f aca="false">INDEX(Assumptions!$C$35:$E$40,MIN(MAX(AC$4,1),6),1)</f>
        <v>16</v>
      </c>
      <c r="AD16" s="16" t="n">
        <f aca="false">INDEX(Assumptions!$C$35:$E$40,MIN(MAX(AD$4,1),6),1)</f>
        <v>16</v>
      </c>
      <c r="AE16" s="16" t="n">
        <f aca="false">INDEX(Assumptions!$C$35:$E$40,MIN(MAX(AE$4,1),6),1)</f>
        <v>16</v>
      </c>
      <c r="AF16" s="16" t="n">
        <f aca="false">INDEX(Assumptions!$C$35:$E$40,MIN(MAX(AF$4,1),6),1)</f>
        <v>16</v>
      </c>
      <c r="AG16" s="16" t="n">
        <f aca="false">INDEX(Assumptions!$C$35:$E$40,MIN(MAX(AG$4,1),6),1)</f>
        <v>16</v>
      </c>
    </row>
    <row r="17" customFormat="false" ht="15" hidden="false" customHeight="true" outlineLevel="0" collapsed="false">
      <c r="B17" s="3" t="s">
        <v>97</v>
      </c>
      <c r="C17" s="16" t="n">
        <f aca="false">INDEX(Assumptions!$C$35:$E$40,MIN(MAX(C$4,1),6),2)</f>
        <v>12</v>
      </c>
      <c r="D17" s="16" t="n">
        <f aca="false">INDEX(Assumptions!$C$35:$E$40,MIN(MAX(D$4,1),6),2)</f>
        <v>12</v>
      </c>
      <c r="E17" s="16" t="n">
        <f aca="false">INDEX(Assumptions!$C$35:$E$40,MIN(MAX(E$4,1),6),2)</f>
        <v>13</v>
      </c>
      <c r="F17" s="16" t="n">
        <f aca="false">INDEX(Assumptions!$C$35:$E$40,MIN(MAX(F$4,1),6),2)</f>
        <v>14</v>
      </c>
      <c r="G17" s="16" t="n">
        <f aca="false">INDEX(Assumptions!$C$35:$E$40,MIN(MAX(G$4,1),6),2)</f>
        <v>14</v>
      </c>
      <c r="H17" s="16" t="n">
        <f aca="false">INDEX(Assumptions!$C$35:$E$40,MIN(MAX(H$4,1),6),2)</f>
        <v>14</v>
      </c>
      <c r="I17" s="16" t="n">
        <f aca="false">INDEX(Assumptions!$C$35:$E$40,MIN(MAX(I$4,1),6),2)</f>
        <v>14</v>
      </c>
      <c r="J17" s="16" t="n">
        <f aca="false">INDEX(Assumptions!$C$35:$E$40,MIN(MAX(J$4,1),6),2)</f>
        <v>14</v>
      </c>
      <c r="K17" s="16" t="n">
        <f aca="false">INDEX(Assumptions!$C$35:$E$40,MIN(MAX(K$4,1),6),2)</f>
        <v>14</v>
      </c>
      <c r="L17" s="16" t="n">
        <f aca="false">INDEX(Assumptions!$C$35:$E$40,MIN(MAX(L$4,1),6),2)</f>
        <v>14</v>
      </c>
      <c r="M17" s="16" t="n">
        <f aca="false">INDEX(Assumptions!$C$35:$E$40,MIN(MAX(M$4,1),6),2)</f>
        <v>14</v>
      </c>
      <c r="N17" s="16" t="n">
        <f aca="false">INDEX(Assumptions!$C$35:$E$40,MIN(MAX(N$4,1),6),2)</f>
        <v>14</v>
      </c>
      <c r="O17" s="16" t="n">
        <f aca="false">INDEX(Assumptions!$C$35:$E$40,MIN(MAX(O$4,1),6),2)</f>
        <v>14</v>
      </c>
      <c r="P17" s="16" t="n">
        <f aca="false">INDEX(Assumptions!$C$35:$E$40,MIN(MAX(P$4,1),6),2)</f>
        <v>14</v>
      </c>
      <c r="Q17" s="16" t="n">
        <f aca="false">INDEX(Assumptions!$C$35:$E$40,MIN(MAX(Q$4,1),6),2)</f>
        <v>14</v>
      </c>
      <c r="R17" s="16" t="n">
        <f aca="false">INDEX(Assumptions!$C$35:$E$40,MIN(MAX(R$4,1),6),2)</f>
        <v>14</v>
      </c>
      <c r="S17" s="16" t="n">
        <f aca="false">INDEX(Assumptions!$C$35:$E$40,MIN(MAX(S$4,1),6),2)</f>
        <v>14</v>
      </c>
      <c r="T17" s="16" t="n">
        <f aca="false">INDEX(Assumptions!$C$35:$E$40,MIN(MAX(T$4,1),6),2)</f>
        <v>14</v>
      </c>
      <c r="U17" s="16" t="n">
        <f aca="false">INDEX(Assumptions!$C$35:$E$40,MIN(MAX(U$4,1),6),2)</f>
        <v>14</v>
      </c>
      <c r="V17" s="16" t="n">
        <f aca="false">INDEX(Assumptions!$C$35:$E$40,MIN(MAX(V$4,1),6),2)</f>
        <v>14</v>
      </c>
      <c r="W17" s="16" t="n">
        <f aca="false">INDEX(Assumptions!$C$35:$E$40,MIN(MAX(W$4,1),6),2)</f>
        <v>14</v>
      </c>
      <c r="X17" s="16" t="n">
        <f aca="false">INDEX(Assumptions!$C$35:$E$40,MIN(MAX(X$4,1),6),2)</f>
        <v>14</v>
      </c>
      <c r="Y17" s="16" t="n">
        <f aca="false">INDEX(Assumptions!$C$35:$E$40,MIN(MAX(Y$4,1),6),2)</f>
        <v>14</v>
      </c>
      <c r="Z17" s="16" t="n">
        <f aca="false">INDEX(Assumptions!$C$35:$E$40,MIN(MAX(Z$4,1),6),2)</f>
        <v>14</v>
      </c>
      <c r="AA17" s="16" t="n">
        <f aca="false">INDEX(Assumptions!$C$35:$E$40,MIN(MAX(AA$4,1),6),2)</f>
        <v>14</v>
      </c>
      <c r="AB17" s="16" t="n">
        <f aca="false">INDEX(Assumptions!$C$35:$E$40,MIN(MAX(AB$4,1),6),2)</f>
        <v>14</v>
      </c>
      <c r="AC17" s="16" t="n">
        <f aca="false">INDEX(Assumptions!$C$35:$E$40,MIN(MAX(AC$4,1),6),2)</f>
        <v>14</v>
      </c>
      <c r="AD17" s="16" t="n">
        <f aca="false">INDEX(Assumptions!$C$35:$E$40,MIN(MAX(AD$4,1),6),2)</f>
        <v>14</v>
      </c>
      <c r="AE17" s="16" t="n">
        <f aca="false">INDEX(Assumptions!$C$35:$E$40,MIN(MAX(AE$4,1),6),2)</f>
        <v>14</v>
      </c>
      <c r="AF17" s="16" t="n">
        <f aca="false">INDEX(Assumptions!$C$35:$E$40,MIN(MAX(AF$4,1),6),2)</f>
        <v>14</v>
      </c>
      <c r="AG17" s="16" t="n">
        <f aca="false">INDEX(Assumptions!$C$35:$E$40,MIN(MAX(AG$4,1),6),2)</f>
        <v>14</v>
      </c>
    </row>
    <row r="18" customFormat="false" ht="15" hidden="false" customHeight="true" outlineLevel="0" collapsed="false">
      <c r="B18" s="3" t="s">
        <v>98</v>
      </c>
      <c r="C18" s="16" t="n">
        <f aca="false">INDEX(Assumptions!$C$35:$E$40,MIN(MAX(C$4,1),6),3)</f>
        <v>10</v>
      </c>
      <c r="D18" s="16" t="n">
        <f aca="false">INDEX(Assumptions!$C$35:$E$40,MIN(MAX(D$4,1),6),3)</f>
        <v>10</v>
      </c>
      <c r="E18" s="16" t="n">
        <f aca="false">INDEX(Assumptions!$C$35:$E$40,MIN(MAX(E$4,1),6),3)</f>
        <v>10</v>
      </c>
      <c r="F18" s="16" t="n">
        <f aca="false">INDEX(Assumptions!$C$35:$E$40,MIN(MAX(F$4,1),6),3)</f>
        <v>10</v>
      </c>
      <c r="G18" s="16" t="n">
        <f aca="false">INDEX(Assumptions!$C$35:$E$40,MIN(MAX(G$4,1),6),3)</f>
        <v>11</v>
      </c>
      <c r="H18" s="16" t="n">
        <f aca="false">INDEX(Assumptions!$C$35:$E$40,MIN(MAX(H$4,1),6),3)</f>
        <v>12</v>
      </c>
      <c r="I18" s="16" t="n">
        <f aca="false">INDEX(Assumptions!$C$35:$E$40,MIN(MAX(I$4,1),6),3)</f>
        <v>12</v>
      </c>
      <c r="J18" s="16" t="n">
        <f aca="false">INDEX(Assumptions!$C$35:$E$40,MIN(MAX(J$4,1),6),3)</f>
        <v>12</v>
      </c>
      <c r="K18" s="16" t="n">
        <f aca="false">INDEX(Assumptions!$C$35:$E$40,MIN(MAX(K$4,1),6),3)</f>
        <v>12</v>
      </c>
      <c r="L18" s="16" t="n">
        <f aca="false">INDEX(Assumptions!$C$35:$E$40,MIN(MAX(L$4,1),6),3)</f>
        <v>12</v>
      </c>
      <c r="M18" s="16" t="n">
        <f aca="false">INDEX(Assumptions!$C$35:$E$40,MIN(MAX(M$4,1),6),3)</f>
        <v>12</v>
      </c>
      <c r="N18" s="16" t="n">
        <f aca="false">INDEX(Assumptions!$C$35:$E$40,MIN(MAX(N$4,1),6),3)</f>
        <v>12</v>
      </c>
      <c r="O18" s="16" t="n">
        <f aca="false">INDEX(Assumptions!$C$35:$E$40,MIN(MAX(O$4,1),6),3)</f>
        <v>12</v>
      </c>
      <c r="P18" s="16" t="n">
        <f aca="false">INDEX(Assumptions!$C$35:$E$40,MIN(MAX(P$4,1),6),3)</f>
        <v>12</v>
      </c>
      <c r="Q18" s="16" t="n">
        <f aca="false">INDEX(Assumptions!$C$35:$E$40,MIN(MAX(Q$4,1),6),3)</f>
        <v>12</v>
      </c>
      <c r="R18" s="16" t="n">
        <f aca="false">INDEX(Assumptions!$C$35:$E$40,MIN(MAX(R$4,1),6),3)</f>
        <v>12</v>
      </c>
      <c r="S18" s="16" t="n">
        <f aca="false">INDEX(Assumptions!$C$35:$E$40,MIN(MAX(S$4,1),6),3)</f>
        <v>12</v>
      </c>
      <c r="T18" s="16" t="n">
        <f aca="false">INDEX(Assumptions!$C$35:$E$40,MIN(MAX(T$4,1),6),3)</f>
        <v>12</v>
      </c>
      <c r="U18" s="16" t="n">
        <f aca="false">INDEX(Assumptions!$C$35:$E$40,MIN(MAX(U$4,1),6),3)</f>
        <v>12</v>
      </c>
      <c r="V18" s="16" t="n">
        <f aca="false">INDEX(Assumptions!$C$35:$E$40,MIN(MAX(V$4,1),6),3)</f>
        <v>12</v>
      </c>
      <c r="W18" s="16" t="n">
        <f aca="false">INDEX(Assumptions!$C$35:$E$40,MIN(MAX(W$4,1),6),3)</f>
        <v>12</v>
      </c>
      <c r="X18" s="16" t="n">
        <f aca="false">INDEX(Assumptions!$C$35:$E$40,MIN(MAX(X$4,1),6),3)</f>
        <v>12</v>
      </c>
      <c r="Y18" s="16" t="n">
        <f aca="false">INDEX(Assumptions!$C$35:$E$40,MIN(MAX(Y$4,1),6),3)</f>
        <v>12</v>
      </c>
      <c r="Z18" s="16" t="n">
        <f aca="false">INDEX(Assumptions!$C$35:$E$40,MIN(MAX(Z$4,1),6),3)</f>
        <v>12</v>
      </c>
      <c r="AA18" s="16" t="n">
        <f aca="false">INDEX(Assumptions!$C$35:$E$40,MIN(MAX(AA$4,1),6),3)</f>
        <v>12</v>
      </c>
      <c r="AB18" s="16" t="n">
        <f aca="false">INDEX(Assumptions!$C$35:$E$40,MIN(MAX(AB$4,1),6),3)</f>
        <v>12</v>
      </c>
      <c r="AC18" s="16" t="n">
        <f aca="false">INDEX(Assumptions!$C$35:$E$40,MIN(MAX(AC$4,1),6),3)</f>
        <v>12</v>
      </c>
      <c r="AD18" s="16" t="n">
        <f aca="false">INDEX(Assumptions!$C$35:$E$40,MIN(MAX(AD$4,1),6),3)</f>
        <v>12</v>
      </c>
      <c r="AE18" s="16" t="n">
        <f aca="false">INDEX(Assumptions!$C$35:$E$40,MIN(MAX(AE$4,1),6),3)</f>
        <v>12</v>
      </c>
      <c r="AF18" s="16" t="n">
        <f aca="false">INDEX(Assumptions!$C$35:$E$40,MIN(MAX(AF$4,1),6),3)</f>
        <v>12</v>
      </c>
      <c r="AG18" s="16" t="n">
        <f aca="false">INDEX(Assumptions!$C$35:$E$40,MIN(MAX(AG$4,1),6),3)</f>
        <v>12</v>
      </c>
    </row>
    <row r="19" customFormat="false" ht="15" hidden="false" customHeight="true" outlineLevel="0" collapsed="false">
      <c r="B19" s="3" t="s">
        <v>99</v>
      </c>
      <c r="C19" s="18" t="n">
        <f aca="false">(C16+C17+C18)/52</f>
        <v>0.692307692307692</v>
      </c>
      <c r="D19" s="18" t="n">
        <f aca="false">(D16+D17+D18)/52</f>
        <v>0.692307692307692</v>
      </c>
      <c r="E19" s="18" t="n">
        <f aca="false">(E16+E17+E18)/52</f>
        <v>0.730769230769231</v>
      </c>
      <c r="F19" s="18" t="n">
        <f aca="false">(F16+F17+F18)/52</f>
        <v>0.769230769230769</v>
      </c>
      <c r="G19" s="18" t="n">
        <f aca="false">(G16+G17+G18)/52</f>
        <v>0.788461538461538</v>
      </c>
      <c r="H19" s="18" t="n">
        <f aca="false">(H16+H17+H18)/52</f>
        <v>0.807692307692308</v>
      </c>
      <c r="I19" s="18" t="n">
        <f aca="false">(I16+I17+I18)/52</f>
        <v>0.807692307692308</v>
      </c>
      <c r="J19" s="18" t="n">
        <f aca="false">(J16+J17+J18)/52</f>
        <v>0.807692307692308</v>
      </c>
      <c r="K19" s="18" t="n">
        <f aca="false">(K16+K17+K18)/52</f>
        <v>0.807692307692308</v>
      </c>
      <c r="L19" s="18" t="n">
        <f aca="false">(L16+L17+L18)/52</f>
        <v>0.807692307692308</v>
      </c>
      <c r="M19" s="18" t="n">
        <f aca="false">(M16+M17+M18)/52</f>
        <v>0.807692307692308</v>
      </c>
      <c r="N19" s="18" t="n">
        <f aca="false">(N16+N17+N18)/52</f>
        <v>0.807692307692308</v>
      </c>
      <c r="O19" s="18" t="n">
        <f aca="false">(O16+O17+O18)/52</f>
        <v>0.807692307692308</v>
      </c>
      <c r="P19" s="18" t="n">
        <f aca="false">(P16+P17+P18)/52</f>
        <v>0.807692307692308</v>
      </c>
      <c r="Q19" s="18" t="n">
        <f aca="false">(Q16+Q17+Q18)/52</f>
        <v>0.807692307692308</v>
      </c>
      <c r="R19" s="18" t="n">
        <f aca="false">(R16+R17+R18)/52</f>
        <v>0.807692307692308</v>
      </c>
      <c r="S19" s="18" t="n">
        <f aca="false">(S16+S17+S18)/52</f>
        <v>0.807692307692308</v>
      </c>
      <c r="T19" s="18" t="n">
        <f aca="false">(T16+T17+T18)/52</f>
        <v>0.807692307692308</v>
      </c>
      <c r="U19" s="18" t="n">
        <f aca="false">(U16+U17+U18)/52</f>
        <v>0.807692307692308</v>
      </c>
      <c r="V19" s="18" t="n">
        <f aca="false">(V16+V17+V18)/52</f>
        <v>0.807692307692308</v>
      </c>
      <c r="W19" s="18" t="n">
        <f aca="false">(W16+W17+W18)/52</f>
        <v>0.807692307692308</v>
      </c>
      <c r="X19" s="18" t="n">
        <f aca="false">(X16+X17+X18)/52</f>
        <v>0.807692307692308</v>
      </c>
      <c r="Y19" s="18" t="n">
        <f aca="false">(Y16+Y17+Y18)/52</f>
        <v>0.807692307692308</v>
      </c>
      <c r="Z19" s="18" t="n">
        <f aca="false">(Z16+Z17+Z18)/52</f>
        <v>0.807692307692308</v>
      </c>
      <c r="AA19" s="18" t="n">
        <f aca="false">(AA16+AA17+AA18)/52</f>
        <v>0.807692307692308</v>
      </c>
      <c r="AB19" s="18" t="n">
        <f aca="false">(AB16+AB17+AB18)/52</f>
        <v>0.807692307692308</v>
      </c>
      <c r="AC19" s="18" t="n">
        <f aca="false">(AC16+AC17+AC18)/52</f>
        <v>0.807692307692308</v>
      </c>
      <c r="AD19" s="18" t="n">
        <f aca="false">(AD16+AD17+AD18)/52</f>
        <v>0.807692307692308</v>
      </c>
      <c r="AE19" s="18" t="n">
        <f aca="false">(AE16+AE17+AE18)/52</f>
        <v>0.807692307692308</v>
      </c>
      <c r="AF19" s="18" t="n">
        <f aca="false">(AF16+AF17+AF18)/52</f>
        <v>0.807692307692308</v>
      </c>
      <c r="AG19" s="18" t="n">
        <f aca="false">(AG16+AG17+AG18)/52</f>
        <v>0.807692307692308</v>
      </c>
    </row>
    <row r="20" customFormat="false" ht="15" hidden="false" customHeight="true" outlineLevel="0" collapsed="false"/>
    <row r="21" customFormat="false" ht="15" hidden="false" customHeight="true" outlineLevel="0" collapsed="false">
      <c r="B21" s="13" t="s">
        <v>100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customFormat="false" ht="15" hidden="false" customHeight="true" outlineLevel="0" collapsed="false">
      <c r="B22" s="3" t="s">
        <v>101</v>
      </c>
      <c r="C22" s="10" t="n">
        <f aca="false">Assumptions!$C$32*(1+Assumptions!$C$26)^(MAX(C$4,1)-1)</f>
        <v>73500</v>
      </c>
      <c r="D22" s="10" t="n">
        <f aca="false">Assumptions!$C$32*(1+Assumptions!$C$26)^(MAX(D$4,1)-1)</f>
        <v>73500</v>
      </c>
      <c r="E22" s="10" t="n">
        <f aca="false">Assumptions!$C$32*(1+Assumptions!$C$26)^(MAX(E$4,1)-1)</f>
        <v>75705</v>
      </c>
      <c r="F22" s="10" t="n">
        <f aca="false">Assumptions!$C$32*(1+Assumptions!$C$26)^(MAX(F$4,1)-1)</f>
        <v>77976.15</v>
      </c>
      <c r="G22" s="10" t="n">
        <f aca="false">Assumptions!$C$32*(1+Assumptions!$C$26)^(MAX(G$4,1)-1)</f>
        <v>80315.4345</v>
      </c>
      <c r="H22" s="10" t="n">
        <f aca="false">Assumptions!$C$32*(1+Assumptions!$C$26)^(MAX(H$4,1)-1)</f>
        <v>82724.897535</v>
      </c>
      <c r="I22" s="10" t="n">
        <f aca="false">Assumptions!$C$32*(1+Assumptions!$C$26)^(MAX(I$4,1)-1)</f>
        <v>85206.64446105</v>
      </c>
      <c r="J22" s="10" t="n">
        <f aca="false">Assumptions!$C$32*(1+Assumptions!$C$26)^(MAX(J$4,1)-1)</f>
        <v>87762.8437948815</v>
      </c>
      <c r="K22" s="10" t="n">
        <f aca="false">Assumptions!$C$32*(1+Assumptions!$C$26)^(MAX(K$4,1)-1)</f>
        <v>90395.729108728</v>
      </c>
      <c r="L22" s="10" t="n">
        <f aca="false">Assumptions!$C$32*(1+Assumptions!$C$26)^(MAX(L$4,1)-1)</f>
        <v>93107.6009819898</v>
      </c>
      <c r="M22" s="10" t="n">
        <f aca="false">Assumptions!$C$32*(1+Assumptions!$C$26)^(MAX(M$4,1)-1)</f>
        <v>95900.8290114495</v>
      </c>
      <c r="N22" s="10" t="n">
        <f aca="false">Assumptions!$C$32*(1+Assumptions!$C$26)^(MAX(N$4,1)-1)</f>
        <v>98777.853881793</v>
      </c>
      <c r="O22" s="10" t="n">
        <f aca="false">Assumptions!$C$32*(1+Assumptions!$C$26)^(MAX(O$4,1)-1)</f>
        <v>101741.189498247</v>
      </c>
      <c r="P22" s="10" t="n">
        <f aca="false">Assumptions!$C$32*(1+Assumptions!$C$26)^(MAX(P$4,1)-1)</f>
        <v>104793.425183194</v>
      </c>
      <c r="Q22" s="10" t="n">
        <f aca="false">Assumptions!$C$32*(1+Assumptions!$C$26)^(MAX(Q$4,1)-1)</f>
        <v>107937.22793869</v>
      </c>
      <c r="R22" s="10" t="n">
        <f aca="false">Assumptions!$C$32*(1+Assumptions!$C$26)^(MAX(R$4,1)-1)</f>
        <v>111175.344776851</v>
      </c>
      <c r="S22" s="10" t="n">
        <f aca="false">Assumptions!$C$32*(1+Assumptions!$C$26)^(MAX(S$4,1)-1)</f>
        <v>114510.605120156</v>
      </c>
      <c r="T22" s="10" t="n">
        <f aca="false">Assumptions!$C$32*(1+Assumptions!$C$26)^(MAX(T$4,1)-1)</f>
        <v>117945.923273761</v>
      </c>
      <c r="U22" s="10" t="n">
        <f aca="false">Assumptions!$C$32*(1+Assumptions!$C$26)^(MAX(U$4,1)-1)</f>
        <v>121484.300971974</v>
      </c>
      <c r="V22" s="10" t="n">
        <f aca="false">Assumptions!$C$32*(1+Assumptions!$C$26)^(MAX(V$4,1)-1)</f>
        <v>125128.830001133</v>
      </c>
      <c r="W22" s="10" t="n">
        <f aca="false">Assumptions!$C$32*(1+Assumptions!$C$26)^(MAX(W$4,1)-1)</f>
        <v>128882.694901167</v>
      </c>
      <c r="X22" s="10" t="n">
        <f aca="false">Assumptions!$C$32*(1+Assumptions!$C$26)^(MAX(X$4,1)-1)</f>
        <v>132749.175748202</v>
      </c>
      <c r="Y22" s="10" t="n">
        <f aca="false">Assumptions!$C$32*(1+Assumptions!$C$26)^(MAX(Y$4,1)-1)</f>
        <v>136731.651020648</v>
      </c>
      <c r="Z22" s="10" t="n">
        <f aca="false">Assumptions!$C$32*(1+Assumptions!$C$26)^(MAX(Z$4,1)-1)</f>
        <v>140833.600551268</v>
      </c>
      <c r="AA22" s="10" t="n">
        <f aca="false">Assumptions!$C$32*(1+Assumptions!$C$26)^(MAX(AA$4,1)-1)</f>
        <v>145058.608567806</v>
      </c>
      <c r="AB22" s="10" t="n">
        <f aca="false">Assumptions!$C$32*(1+Assumptions!$C$26)^(MAX(AB$4,1)-1)</f>
        <v>149410.36682484</v>
      </c>
      <c r="AC22" s="10" t="n">
        <f aca="false">Assumptions!$C$32*(1+Assumptions!$C$26)^(MAX(AC$4,1)-1)</f>
        <v>153892.677829585</v>
      </c>
      <c r="AD22" s="10" t="n">
        <f aca="false">Assumptions!$C$32*(1+Assumptions!$C$26)^(MAX(AD$4,1)-1)</f>
        <v>158509.458164472</v>
      </c>
      <c r="AE22" s="10" t="n">
        <f aca="false">Assumptions!$C$32*(1+Assumptions!$C$26)^(MAX(AE$4,1)-1)</f>
        <v>163264.741909407</v>
      </c>
      <c r="AF22" s="10" t="n">
        <f aca="false">Assumptions!$C$32*(1+Assumptions!$C$26)^(MAX(AF$4,1)-1)</f>
        <v>168162.684166689</v>
      </c>
      <c r="AG22" s="10" t="n">
        <f aca="false">Assumptions!$C$32*(1+Assumptions!$C$26)^(MAX(AG$4,1)-1)</f>
        <v>173207.56469169</v>
      </c>
    </row>
    <row r="23" customFormat="false" ht="15" hidden="false" customHeight="true" outlineLevel="0" collapsed="false">
      <c r="B23" s="3" t="s">
        <v>102</v>
      </c>
      <c r="C23" s="10" t="n">
        <f aca="false">Assumptions!$D$32*(1+Assumptions!$C$26)^(MAX(C$4,1)-1)</f>
        <v>52500</v>
      </c>
      <c r="D23" s="10" t="n">
        <f aca="false">Assumptions!$D$32*(1+Assumptions!$C$26)^(MAX(D$4,1)-1)</f>
        <v>52500</v>
      </c>
      <c r="E23" s="10" t="n">
        <f aca="false">Assumptions!$D$32*(1+Assumptions!$C$26)^(MAX(E$4,1)-1)</f>
        <v>54075</v>
      </c>
      <c r="F23" s="10" t="n">
        <f aca="false">Assumptions!$D$32*(1+Assumptions!$C$26)^(MAX(F$4,1)-1)</f>
        <v>55697.25</v>
      </c>
      <c r="G23" s="10" t="n">
        <f aca="false">Assumptions!$D$32*(1+Assumptions!$C$26)^(MAX(G$4,1)-1)</f>
        <v>57368.1675</v>
      </c>
      <c r="H23" s="10" t="n">
        <f aca="false">Assumptions!$D$32*(1+Assumptions!$C$26)^(MAX(H$4,1)-1)</f>
        <v>59089.212525</v>
      </c>
      <c r="I23" s="10" t="n">
        <f aca="false">Assumptions!$D$32*(1+Assumptions!$C$26)^(MAX(I$4,1)-1)</f>
        <v>60861.88890075</v>
      </c>
      <c r="J23" s="10" t="n">
        <f aca="false">Assumptions!$D$32*(1+Assumptions!$C$26)^(MAX(J$4,1)-1)</f>
        <v>62687.7455677725</v>
      </c>
      <c r="K23" s="10" t="n">
        <f aca="false">Assumptions!$D$32*(1+Assumptions!$C$26)^(MAX(K$4,1)-1)</f>
        <v>64568.3779348057</v>
      </c>
      <c r="L23" s="10" t="n">
        <f aca="false">Assumptions!$D$32*(1+Assumptions!$C$26)^(MAX(L$4,1)-1)</f>
        <v>66505.4292728499</v>
      </c>
      <c r="M23" s="10" t="n">
        <f aca="false">Assumptions!$D$32*(1+Assumptions!$C$26)^(MAX(M$4,1)-1)</f>
        <v>68500.5921510354</v>
      </c>
      <c r="N23" s="10" t="n">
        <f aca="false">Assumptions!$D$32*(1+Assumptions!$C$26)^(MAX(N$4,1)-1)</f>
        <v>70555.6099155664</v>
      </c>
      <c r="O23" s="10" t="n">
        <f aca="false">Assumptions!$D$32*(1+Assumptions!$C$26)^(MAX(O$4,1)-1)</f>
        <v>72672.2782130334</v>
      </c>
      <c r="P23" s="10" t="n">
        <f aca="false">Assumptions!$D$32*(1+Assumptions!$C$26)^(MAX(P$4,1)-1)</f>
        <v>74852.4465594244</v>
      </c>
      <c r="Q23" s="10" t="n">
        <f aca="false">Assumptions!$D$32*(1+Assumptions!$C$26)^(MAX(Q$4,1)-1)</f>
        <v>77098.0199562072</v>
      </c>
      <c r="R23" s="10" t="n">
        <f aca="false">Assumptions!$D$32*(1+Assumptions!$C$26)^(MAX(R$4,1)-1)</f>
        <v>79410.9605548934</v>
      </c>
      <c r="S23" s="10" t="n">
        <f aca="false">Assumptions!$D$32*(1+Assumptions!$C$26)^(MAX(S$4,1)-1)</f>
        <v>81793.2893715402</v>
      </c>
      <c r="T23" s="10" t="n">
        <f aca="false">Assumptions!$D$32*(1+Assumptions!$C$26)^(MAX(T$4,1)-1)</f>
        <v>84247.0880526864</v>
      </c>
      <c r="U23" s="10" t="n">
        <f aca="false">Assumptions!$D$32*(1+Assumptions!$C$26)^(MAX(U$4,1)-1)</f>
        <v>86774.500694267</v>
      </c>
      <c r="V23" s="10" t="n">
        <f aca="false">Assumptions!$D$32*(1+Assumptions!$C$26)^(MAX(V$4,1)-1)</f>
        <v>89377.735715095</v>
      </c>
      <c r="W23" s="10" t="n">
        <f aca="false">Assumptions!$D$32*(1+Assumptions!$C$26)^(MAX(W$4,1)-1)</f>
        <v>92059.0677865478</v>
      </c>
      <c r="X23" s="10" t="n">
        <f aca="false">Assumptions!$D$32*(1+Assumptions!$C$26)^(MAX(X$4,1)-1)</f>
        <v>94820.8398201443</v>
      </c>
      <c r="Y23" s="10" t="n">
        <f aca="false">Assumptions!$D$32*(1+Assumptions!$C$26)^(MAX(Y$4,1)-1)</f>
        <v>97665.4650147486</v>
      </c>
      <c r="Z23" s="10" t="n">
        <f aca="false">Assumptions!$D$32*(1+Assumptions!$C$26)^(MAX(Z$4,1)-1)</f>
        <v>100595.428965191</v>
      </c>
      <c r="AA23" s="10" t="n">
        <f aca="false">Assumptions!$D$32*(1+Assumptions!$C$26)^(MAX(AA$4,1)-1)</f>
        <v>103613.291834147</v>
      </c>
      <c r="AB23" s="10" t="n">
        <f aca="false">Assumptions!$D$32*(1+Assumptions!$C$26)^(MAX(AB$4,1)-1)</f>
        <v>106721.690589171</v>
      </c>
      <c r="AC23" s="10" t="n">
        <f aca="false">Assumptions!$D$32*(1+Assumptions!$C$26)^(MAX(AC$4,1)-1)</f>
        <v>109923.341306846</v>
      </c>
      <c r="AD23" s="10" t="n">
        <f aca="false">Assumptions!$D$32*(1+Assumptions!$C$26)^(MAX(AD$4,1)-1)</f>
        <v>113221.041546052</v>
      </c>
      <c r="AE23" s="10" t="n">
        <f aca="false">Assumptions!$D$32*(1+Assumptions!$C$26)^(MAX(AE$4,1)-1)</f>
        <v>116617.672792433</v>
      </c>
      <c r="AF23" s="10" t="n">
        <f aca="false">Assumptions!$D$32*(1+Assumptions!$C$26)^(MAX(AF$4,1)-1)</f>
        <v>120116.202976206</v>
      </c>
      <c r="AG23" s="10" t="n">
        <f aca="false">Assumptions!$D$32*(1+Assumptions!$C$26)^(MAX(AG$4,1)-1)</f>
        <v>123719.689065493</v>
      </c>
    </row>
    <row r="24" customFormat="false" ht="15" hidden="false" customHeight="true" outlineLevel="0" collapsed="false">
      <c r="B24" s="3" t="s">
        <v>103</v>
      </c>
      <c r="C24" s="10" t="n">
        <f aca="false">Assumptions!$E$32*(1+Assumptions!$C$26)^(MAX(C$4,1)-1)</f>
        <v>38500</v>
      </c>
      <c r="D24" s="10" t="n">
        <f aca="false">Assumptions!$E$32*(1+Assumptions!$C$26)^(MAX(D$4,1)-1)</f>
        <v>38500</v>
      </c>
      <c r="E24" s="10" t="n">
        <f aca="false">Assumptions!$E$32*(1+Assumptions!$C$26)^(MAX(E$4,1)-1)</f>
        <v>39655</v>
      </c>
      <c r="F24" s="10" t="n">
        <f aca="false">Assumptions!$E$32*(1+Assumptions!$C$26)^(MAX(F$4,1)-1)</f>
        <v>40844.65</v>
      </c>
      <c r="G24" s="10" t="n">
        <f aca="false">Assumptions!$E$32*(1+Assumptions!$C$26)^(MAX(G$4,1)-1)</f>
        <v>42069.9895</v>
      </c>
      <c r="H24" s="10" t="n">
        <f aca="false">Assumptions!$E$32*(1+Assumptions!$C$26)^(MAX(H$4,1)-1)</f>
        <v>43332.089185</v>
      </c>
      <c r="I24" s="10" t="n">
        <f aca="false">Assumptions!$E$32*(1+Assumptions!$C$26)^(MAX(I$4,1)-1)</f>
        <v>44632.05186055</v>
      </c>
      <c r="J24" s="10" t="n">
        <f aca="false">Assumptions!$E$32*(1+Assumptions!$C$26)^(MAX(J$4,1)-1)</f>
        <v>45971.0134163665</v>
      </c>
      <c r="K24" s="10" t="n">
        <f aca="false">Assumptions!$E$32*(1+Assumptions!$C$26)^(MAX(K$4,1)-1)</f>
        <v>47350.1438188575</v>
      </c>
      <c r="L24" s="10" t="n">
        <f aca="false">Assumptions!$E$32*(1+Assumptions!$C$26)^(MAX(L$4,1)-1)</f>
        <v>48770.6481334232</v>
      </c>
      <c r="M24" s="10" t="n">
        <f aca="false">Assumptions!$E$32*(1+Assumptions!$C$26)^(MAX(M$4,1)-1)</f>
        <v>50233.7675774259</v>
      </c>
      <c r="N24" s="10" t="n">
        <f aca="false">Assumptions!$E$32*(1+Assumptions!$C$26)^(MAX(N$4,1)-1)</f>
        <v>51740.7806047487</v>
      </c>
      <c r="O24" s="10" t="n">
        <f aca="false">Assumptions!$E$32*(1+Assumptions!$C$26)^(MAX(O$4,1)-1)</f>
        <v>53293.0040228912</v>
      </c>
      <c r="P24" s="10" t="n">
        <f aca="false">Assumptions!$E$32*(1+Assumptions!$C$26)^(MAX(P$4,1)-1)</f>
        <v>54891.7941435779</v>
      </c>
      <c r="Q24" s="10" t="n">
        <f aca="false">Assumptions!$E$32*(1+Assumptions!$C$26)^(MAX(Q$4,1)-1)</f>
        <v>56538.5479678852</v>
      </c>
      <c r="R24" s="10" t="n">
        <f aca="false">Assumptions!$E$32*(1+Assumptions!$C$26)^(MAX(R$4,1)-1)</f>
        <v>58234.7044069218</v>
      </c>
      <c r="S24" s="10" t="n">
        <f aca="false">Assumptions!$E$32*(1+Assumptions!$C$26)^(MAX(S$4,1)-1)</f>
        <v>59981.7455391295</v>
      </c>
      <c r="T24" s="10" t="n">
        <f aca="false">Assumptions!$E$32*(1+Assumptions!$C$26)^(MAX(T$4,1)-1)</f>
        <v>61781.1979053033</v>
      </c>
      <c r="U24" s="10" t="n">
        <f aca="false">Assumptions!$E$32*(1+Assumptions!$C$26)^(MAX(U$4,1)-1)</f>
        <v>63634.6338424624</v>
      </c>
      <c r="V24" s="10" t="n">
        <f aca="false">Assumptions!$E$32*(1+Assumptions!$C$26)^(MAX(V$4,1)-1)</f>
        <v>65543.6728577363</v>
      </c>
      <c r="W24" s="10" t="n">
        <f aca="false">Assumptions!$E$32*(1+Assumptions!$C$26)^(MAX(W$4,1)-1)</f>
        <v>67509.9830434684</v>
      </c>
      <c r="X24" s="10" t="n">
        <f aca="false">Assumptions!$E$32*(1+Assumptions!$C$26)^(MAX(X$4,1)-1)</f>
        <v>69535.2825347725</v>
      </c>
      <c r="Y24" s="10" t="n">
        <f aca="false">Assumptions!$E$32*(1+Assumptions!$C$26)^(MAX(Y$4,1)-1)</f>
        <v>71621.3410108156</v>
      </c>
      <c r="Z24" s="10" t="n">
        <f aca="false">Assumptions!$E$32*(1+Assumptions!$C$26)^(MAX(Z$4,1)-1)</f>
        <v>73769.9812411401</v>
      </c>
      <c r="AA24" s="10" t="n">
        <f aca="false">Assumptions!$E$32*(1+Assumptions!$C$26)^(MAX(AA$4,1)-1)</f>
        <v>75983.0806783743</v>
      </c>
      <c r="AB24" s="10" t="n">
        <f aca="false">Assumptions!$E$32*(1+Assumptions!$C$26)^(MAX(AB$4,1)-1)</f>
        <v>78262.5730987256</v>
      </c>
      <c r="AC24" s="10" t="n">
        <f aca="false">Assumptions!$E$32*(1+Assumptions!$C$26)^(MAX(AC$4,1)-1)</f>
        <v>80610.4502916873</v>
      </c>
      <c r="AD24" s="10" t="n">
        <f aca="false">Assumptions!$E$32*(1+Assumptions!$C$26)^(MAX(AD$4,1)-1)</f>
        <v>83028.7638004379</v>
      </c>
      <c r="AE24" s="10" t="n">
        <f aca="false">Assumptions!$E$32*(1+Assumptions!$C$26)^(MAX(AE$4,1)-1)</f>
        <v>85519.6267144511</v>
      </c>
      <c r="AF24" s="10" t="n">
        <f aca="false">Assumptions!$E$32*(1+Assumptions!$C$26)^(MAX(AF$4,1)-1)</f>
        <v>88085.2155158846</v>
      </c>
      <c r="AG24" s="10" t="n">
        <f aca="false">Assumptions!$E$32*(1+Assumptions!$C$26)^(MAX(AG$4,1)-1)</f>
        <v>90727.7719813612</v>
      </c>
    </row>
    <row r="25" customFormat="false" ht="15" hidden="false" customHeight="true" outlineLevel="0" collapsed="false"/>
    <row r="26" customFormat="false" ht="15" hidden="false" customHeight="true" outlineLevel="0" collapsed="false">
      <c r="B26" s="13" t="s">
        <v>104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  <row r="27" customFormat="false" ht="15" hidden="false" customHeight="true" outlineLevel="0" collapsed="false">
      <c r="B27" s="3" t="s">
        <v>105</v>
      </c>
      <c r="C27" s="10" t="n">
        <f aca="false">C15*C16*C22</f>
        <v>514500</v>
      </c>
      <c r="D27" s="10" t="n">
        <f aca="false">D15*D16*D22</f>
        <v>4802000</v>
      </c>
      <c r="E27" s="10" t="n">
        <f aca="false">E15*E16*E22</f>
        <v>9084600</v>
      </c>
      <c r="F27" s="10" t="n">
        <f aca="false">F15*F16*F22</f>
        <v>15803166.4</v>
      </c>
      <c r="G27" s="10" t="n">
        <f aca="false">G15*G16*G22</f>
        <v>17990657.328</v>
      </c>
      <c r="H27" s="10" t="n">
        <f aca="false">H15*H16*H22</f>
        <v>18530377.04784</v>
      </c>
      <c r="I27" s="10" t="n">
        <f aca="false">I15*I16*I22</f>
        <v>19086288.3592752</v>
      </c>
      <c r="J27" s="10" t="n">
        <f aca="false">J15*J16*J22</f>
        <v>19658877.0100535</v>
      </c>
      <c r="K27" s="10" t="n">
        <f aca="false">K15*K16*K22</f>
        <v>20248643.3203551</v>
      </c>
      <c r="L27" s="10" t="n">
        <f aca="false">L15*L16*L22</f>
        <v>20856102.6199657</v>
      </c>
      <c r="M27" s="10" t="n">
        <f aca="false">M15*M16*M22</f>
        <v>21481785.6985647</v>
      </c>
      <c r="N27" s="10" t="n">
        <f aca="false">N15*N16*N22</f>
        <v>22126239.2695216</v>
      </c>
      <c r="O27" s="10" t="n">
        <f aca="false">O15*O16*O22</f>
        <v>22790026.4476073</v>
      </c>
      <c r="P27" s="10" t="n">
        <f aca="false">P15*P16*P22</f>
        <v>23473727.2410355</v>
      </c>
      <c r="Q27" s="10" t="n">
        <f aca="false">Q15*Q16*Q22</f>
        <v>24177939.0582666</v>
      </c>
      <c r="R27" s="10" t="n">
        <f aca="false">R15*R16*R22</f>
        <v>24903277.2300146</v>
      </c>
      <c r="S27" s="10" t="n">
        <f aca="false">S15*S16*S22</f>
        <v>25650375.546915</v>
      </c>
      <c r="T27" s="10" t="n">
        <f aca="false">T15*T16*T22</f>
        <v>26419886.8133224</v>
      </c>
      <c r="U27" s="10" t="n">
        <f aca="false">U15*U16*U22</f>
        <v>27212483.4177221</v>
      </c>
      <c r="V27" s="10" t="n">
        <f aca="false">V15*V16*V22</f>
        <v>28028857.9202538</v>
      </c>
      <c r="W27" s="10" t="n">
        <f aca="false">W15*W16*W22</f>
        <v>28869723.6578614</v>
      </c>
      <c r="X27" s="10" t="n">
        <f aca="false">X15*X16*X22</f>
        <v>29735815.3675972</v>
      </c>
      <c r="Y27" s="10" t="n">
        <f aca="false">Y15*Y16*Y22</f>
        <v>30627889.8286252</v>
      </c>
      <c r="Z27" s="10" t="n">
        <f aca="false">Z15*Z16*Z22</f>
        <v>31546726.5234839</v>
      </c>
      <c r="AA27" s="10" t="n">
        <f aca="false">AA15*AA16*AA22</f>
        <v>32493128.3191884</v>
      </c>
      <c r="AB27" s="10" t="n">
        <f aca="false">AB15*AB16*AB22</f>
        <v>33467922.1687641</v>
      </c>
      <c r="AC27" s="10" t="n">
        <f aca="false">AC15*AC16*AC22</f>
        <v>34471959.833827</v>
      </c>
      <c r="AD27" s="10" t="n">
        <f aca="false">AD15*AD16*AD22</f>
        <v>35506118.6288418</v>
      </c>
      <c r="AE27" s="10" t="n">
        <f aca="false">AE15*AE16*AE22</f>
        <v>36571302.1877071</v>
      </c>
      <c r="AF27" s="10" t="n">
        <f aca="false">AF15*AF16*AF22</f>
        <v>37668441.2533383</v>
      </c>
      <c r="AG27" s="10" t="n">
        <f aca="false">AG15*AG16*AG22</f>
        <v>38798494.4909385</v>
      </c>
    </row>
    <row r="28" customFormat="false" ht="15" hidden="false" customHeight="true" outlineLevel="0" collapsed="false">
      <c r="B28" s="3" t="s">
        <v>106</v>
      </c>
      <c r="C28" s="10" t="n">
        <f aca="false">C15*C17*C23</f>
        <v>315000</v>
      </c>
      <c r="D28" s="10" t="n">
        <f aca="false">D15*D17*D23</f>
        <v>2940000</v>
      </c>
      <c r="E28" s="10" t="n">
        <f aca="false">E15*E17*E23</f>
        <v>5623800</v>
      </c>
      <c r="F28" s="10" t="n">
        <f aca="false">F15*F17*F23</f>
        <v>9876979</v>
      </c>
      <c r="G28" s="10" t="n">
        <f aca="false">G15*G17*G23</f>
        <v>11244160.83</v>
      </c>
      <c r="H28" s="10" t="n">
        <f aca="false">H15*H17*H23</f>
        <v>11581485.6549</v>
      </c>
      <c r="I28" s="10" t="n">
        <f aca="false">I15*I17*I23</f>
        <v>11928930.224547</v>
      </c>
      <c r="J28" s="10" t="n">
        <f aca="false">J15*J17*J23</f>
        <v>12286798.1312834</v>
      </c>
      <c r="K28" s="10" t="n">
        <f aca="false">K15*K17*K23</f>
        <v>12655402.0752219</v>
      </c>
      <c r="L28" s="10" t="n">
        <f aca="false">L15*L17*L23</f>
        <v>13035064.1374786</v>
      </c>
      <c r="M28" s="10" t="n">
        <f aca="false">M15*M17*M23</f>
        <v>13426116.0616029</v>
      </c>
      <c r="N28" s="10" t="n">
        <f aca="false">N15*N17*N23</f>
        <v>13828899.543451</v>
      </c>
      <c r="O28" s="10" t="n">
        <f aca="false">O15*O17*O23</f>
        <v>14243766.5297545</v>
      </c>
      <c r="P28" s="10" t="n">
        <f aca="false">P15*P17*P23</f>
        <v>14671079.5256472</v>
      </c>
      <c r="Q28" s="10" t="n">
        <f aca="false">Q15*Q17*Q23</f>
        <v>15111211.9114166</v>
      </c>
      <c r="R28" s="10" t="n">
        <f aca="false">R15*R17*R23</f>
        <v>15564548.2687591</v>
      </c>
      <c r="S28" s="10" t="n">
        <f aca="false">S15*S17*S23</f>
        <v>16031484.7168219</v>
      </c>
      <c r="T28" s="10" t="n">
        <f aca="false">T15*T17*T23</f>
        <v>16512429.2583265</v>
      </c>
      <c r="U28" s="10" t="n">
        <f aca="false">U15*U17*U23</f>
        <v>17007802.1360763</v>
      </c>
      <c r="V28" s="10" t="n">
        <f aca="false">V15*V17*V23</f>
        <v>17518036.2001586</v>
      </c>
      <c r="W28" s="10" t="n">
        <f aca="false">W15*W17*W23</f>
        <v>18043577.2861634</v>
      </c>
      <c r="X28" s="10" t="n">
        <f aca="false">X15*X17*X23</f>
        <v>18584884.6047483</v>
      </c>
      <c r="Y28" s="10" t="n">
        <f aca="false">Y15*Y17*Y23</f>
        <v>19142431.1428907</v>
      </c>
      <c r="Z28" s="10" t="n">
        <f aca="false">Z15*Z17*Z23</f>
        <v>19716704.0771775</v>
      </c>
      <c r="AA28" s="10" t="n">
        <f aca="false">AA15*AA17*AA23</f>
        <v>20308205.1994928</v>
      </c>
      <c r="AB28" s="10" t="n">
        <f aca="false">AB15*AB17*AB23</f>
        <v>20917451.3554776</v>
      </c>
      <c r="AC28" s="10" t="n">
        <f aca="false">AC15*AC17*AC23</f>
        <v>21544974.8961419</v>
      </c>
      <c r="AD28" s="10" t="n">
        <f aca="false">AD15*AD17*AD23</f>
        <v>22191324.1430261</v>
      </c>
      <c r="AE28" s="10" t="n">
        <f aca="false">AE15*AE17*AE23</f>
        <v>22857063.8673169</v>
      </c>
      <c r="AF28" s="10" t="n">
        <f aca="false">AF15*AF17*AF23</f>
        <v>23542775.7833364</v>
      </c>
      <c r="AG28" s="10" t="n">
        <f aca="false">AG15*AG17*AG23</f>
        <v>24249059.0568365</v>
      </c>
    </row>
    <row r="29" customFormat="false" ht="15" hidden="false" customHeight="true" outlineLevel="0" collapsed="false">
      <c r="B29" s="3" t="s">
        <v>107</v>
      </c>
      <c r="C29" s="10" t="n">
        <f aca="false">C15*C18*C24</f>
        <v>192500</v>
      </c>
      <c r="D29" s="10" t="n">
        <f aca="false">D15*D18*D24</f>
        <v>1796666.66666667</v>
      </c>
      <c r="E29" s="10" t="n">
        <f aca="false">E15*E18*E24</f>
        <v>3172400</v>
      </c>
      <c r="F29" s="10" t="n">
        <f aca="false">F15*F18*F24</f>
        <v>5173655.66666667</v>
      </c>
      <c r="G29" s="10" t="n">
        <f aca="false">G15*G18*G24</f>
        <v>6478778.383</v>
      </c>
      <c r="H29" s="10" t="n">
        <f aca="false">H15*H18*H24</f>
        <v>7279790.98308</v>
      </c>
      <c r="I29" s="10" t="n">
        <f aca="false">I15*I18*I24</f>
        <v>7498184.7125724</v>
      </c>
      <c r="J29" s="10" t="n">
        <f aca="false">J15*J18*J24</f>
        <v>7723130.25394957</v>
      </c>
      <c r="K29" s="10" t="n">
        <f aca="false">K15*K18*K24</f>
        <v>7954824.16156806</v>
      </c>
      <c r="L29" s="10" t="n">
        <f aca="false">L15*L18*L24</f>
        <v>8193468.8864151</v>
      </c>
      <c r="M29" s="10" t="n">
        <f aca="false">M15*M18*M24</f>
        <v>8439272.95300756</v>
      </c>
      <c r="N29" s="10" t="n">
        <f aca="false">N15*N18*N24</f>
        <v>8692451.14159778</v>
      </c>
      <c r="O29" s="10" t="n">
        <f aca="false">O15*O18*O24</f>
        <v>8953224.67584572</v>
      </c>
      <c r="P29" s="10" t="n">
        <f aca="false">P15*P18*P24</f>
        <v>9221821.41612109</v>
      </c>
      <c r="Q29" s="10" t="n">
        <f aca="false">Q15*Q18*Q24</f>
        <v>9498476.05860472</v>
      </c>
      <c r="R29" s="10" t="n">
        <f aca="false">R15*R18*R24</f>
        <v>9783430.34036286</v>
      </c>
      <c r="S29" s="10" t="n">
        <f aca="false">S15*S18*S24</f>
        <v>10076933.2505737</v>
      </c>
      <c r="T29" s="10" t="n">
        <f aca="false">T15*T18*T24</f>
        <v>10379241.248091</v>
      </c>
      <c r="U29" s="10" t="n">
        <f aca="false">U15*U18*U24</f>
        <v>10690618.4855337</v>
      </c>
      <c r="V29" s="10" t="n">
        <f aca="false">V15*V18*V24</f>
        <v>11011337.0400997</v>
      </c>
      <c r="W29" s="10" t="n">
        <f aca="false">W15*W18*W24</f>
        <v>11341677.1513027</v>
      </c>
      <c r="X29" s="10" t="n">
        <f aca="false">X15*X18*X24</f>
        <v>11681927.4658418</v>
      </c>
      <c r="Y29" s="10" t="n">
        <f aca="false">Y15*Y18*Y24</f>
        <v>12032385.289817</v>
      </c>
      <c r="Z29" s="10" t="n">
        <f aca="false">Z15*Z18*Z24</f>
        <v>12393356.8485115</v>
      </c>
      <c r="AA29" s="10" t="n">
        <f aca="false">AA15*AA18*AA24</f>
        <v>12765157.5539669</v>
      </c>
      <c r="AB29" s="10" t="n">
        <f aca="false">AB15*AB18*AB24</f>
        <v>13148112.2805859</v>
      </c>
      <c r="AC29" s="10" t="n">
        <f aca="false">AC15*AC18*AC24</f>
        <v>13542555.6490035</v>
      </c>
      <c r="AD29" s="10" t="n">
        <f aca="false">AD15*AD18*AD24</f>
        <v>13948832.3184736</v>
      </c>
      <c r="AE29" s="10" t="n">
        <f aca="false">AE15*AE18*AE24</f>
        <v>14367297.2880278</v>
      </c>
      <c r="AF29" s="10" t="n">
        <f aca="false">AF15*AF18*AF24</f>
        <v>14798316.2066686</v>
      </c>
      <c r="AG29" s="10" t="n">
        <f aca="false">AG15*AG18*AG24</f>
        <v>15242265.6928687</v>
      </c>
    </row>
    <row r="30" customFormat="false" ht="15" hidden="false" customHeight="true" outlineLevel="0" collapsed="false">
      <c r="B30" s="8" t="s">
        <v>108</v>
      </c>
      <c r="C30" s="19" t="n">
        <f aca="false">C27+C28+C29</f>
        <v>1022000</v>
      </c>
      <c r="D30" s="19" t="n">
        <f aca="false">D27+D28+D29</f>
        <v>9538666.66666667</v>
      </c>
      <c r="E30" s="19" t="n">
        <f aca="false">E27+E28+E29</f>
        <v>17880800</v>
      </c>
      <c r="F30" s="19" t="n">
        <f aca="false">F27+F28+F29</f>
        <v>30853801.0666667</v>
      </c>
      <c r="G30" s="19" t="n">
        <f aca="false">G27+G28+G29</f>
        <v>35713596.541</v>
      </c>
      <c r="H30" s="19" t="n">
        <f aca="false">H27+H28+H29</f>
        <v>37391653.68582</v>
      </c>
      <c r="I30" s="19" t="n">
        <f aca="false">I27+I28+I29</f>
        <v>38513403.2963946</v>
      </c>
      <c r="J30" s="19" t="n">
        <f aca="false">J27+J28+J29</f>
        <v>39668805.3952865</v>
      </c>
      <c r="K30" s="19" t="n">
        <f aca="false">K27+K28+K29</f>
        <v>40858869.557145</v>
      </c>
      <c r="L30" s="19" t="n">
        <f aca="false">L27+L28+L29</f>
        <v>42084635.6438594</v>
      </c>
      <c r="M30" s="19" t="n">
        <f aca="false">M27+M28+M29</f>
        <v>43347174.7131752</v>
      </c>
      <c r="N30" s="19" t="n">
        <f aca="false">N27+N28+N29</f>
        <v>44647589.9545704</v>
      </c>
      <c r="O30" s="19" t="n">
        <f aca="false">O27+O28+O29</f>
        <v>45987017.6532075</v>
      </c>
      <c r="P30" s="19" t="n">
        <f aca="false">P27+P28+P29</f>
        <v>47366628.1828038</v>
      </c>
      <c r="Q30" s="19" t="n">
        <f aca="false">Q27+Q28+Q29</f>
        <v>48787627.0282879</v>
      </c>
      <c r="R30" s="19" t="n">
        <f aca="false">R27+R28+R29</f>
        <v>50251255.8391365</v>
      </c>
      <c r="S30" s="19" t="n">
        <f aca="false">S27+S28+S29</f>
        <v>51758793.5143106</v>
      </c>
      <c r="T30" s="19" t="n">
        <f aca="false">T27+T28+T29</f>
        <v>53311557.3197399</v>
      </c>
      <c r="U30" s="19" t="n">
        <f aca="false">U27+U28+U29</f>
        <v>54910904.0393321</v>
      </c>
      <c r="V30" s="19" t="n">
        <f aca="false">V27+V28+V29</f>
        <v>56558231.1605121</v>
      </c>
      <c r="W30" s="19" t="n">
        <f aca="false">W27+W28+W29</f>
        <v>58254978.0953275</v>
      </c>
      <c r="X30" s="19" t="n">
        <f aca="false">X27+X28+X29</f>
        <v>60002627.4381873</v>
      </c>
      <c r="Y30" s="19" t="n">
        <f aca="false">Y27+Y28+Y29</f>
        <v>61802706.2613329</v>
      </c>
      <c r="Z30" s="19" t="n">
        <f aca="false">Z27+Z28+Z29</f>
        <v>63656787.4491729</v>
      </c>
      <c r="AA30" s="19" t="n">
        <f aca="false">AA27+AA28+AA29</f>
        <v>65566491.0726481</v>
      </c>
      <c r="AB30" s="19" t="n">
        <f aca="false">AB27+AB28+AB29</f>
        <v>67533485.8048275</v>
      </c>
      <c r="AC30" s="19" t="n">
        <f aca="false">AC27+AC28+AC29</f>
        <v>69559490.3789724</v>
      </c>
      <c r="AD30" s="19" t="n">
        <f aca="false">AD27+AD28+AD29</f>
        <v>71646275.0903416</v>
      </c>
      <c r="AE30" s="19" t="n">
        <f aca="false">AE27+AE28+AE29</f>
        <v>73795663.3430518</v>
      </c>
      <c r="AF30" s="19" t="n">
        <f aca="false">AF27+AF28+AF29</f>
        <v>76009533.2433433</v>
      </c>
      <c r="AG30" s="19" t="n">
        <f aca="false">AG27+AG28+AG29</f>
        <v>78289819.2406437</v>
      </c>
    </row>
    <row r="31" customFormat="false" ht="15" hidden="false" customHeight="true" outlineLevel="0" collapsed="false">
      <c r="B31" s="3" t="s">
        <v>15</v>
      </c>
      <c r="C31" s="10" t="n">
        <f aca="false">-C30*Assumptions!$C$21</f>
        <v>-102200</v>
      </c>
      <c r="D31" s="10" t="n">
        <f aca="false">-D30*Assumptions!$C$21</f>
        <v>-953866.666666667</v>
      </c>
      <c r="E31" s="10" t="n">
        <f aca="false">-E30*Assumptions!$C$21</f>
        <v>-1788080</v>
      </c>
      <c r="F31" s="10" t="n">
        <f aca="false">-F30*Assumptions!$C$21</f>
        <v>-3085380.10666667</v>
      </c>
      <c r="G31" s="10" t="n">
        <f aca="false">-G30*Assumptions!$C$21</f>
        <v>-3571359.6541</v>
      </c>
      <c r="H31" s="10" t="n">
        <f aca="false">-H30*Assumptions!$C$21</f>
        <v>-3739165.368582</v>
      </c>
      <c r="I31" s="10" t="n">
        <f aca="false">-I30*Assumptions!$C$21</f>
        <v>-3851340.32963946</v>
      </c>
      <c r="J31" s="10" t="n">
        <f aca="false">-J30*Assumptions!$C$21</f>
        <v>-3966880.53952865</v>
      </c>
      <c r="K31" s="10" t="n">
        <f aca="false">-K30*Assumptions!$C$21</f>
        <v>-4085886.9557145</v>
      </c>
      <c r="L31" s="10" t="n">
        <f aca="false">-L30*Assumptions!$C$21</f>
        <v>-4208463.56438594</v>
      </c>
      <c r="M31" s="10" t="n">
        <f aca="false">-M30*Assumptions!$C$21</f>
        <v>-4334717.47131752</v>
      </c>
      <c r="N31" s="10" t="n">
        <f aca="false">-N30*Assumptions!$C$21</f>
        <v>-4464758.99545704</v>
      </c>
      <c r="O31" s="10" t="n">
        <f aca="false">-O30*Assumptions!$C$21</f>
        <v>-4598701.76532076</v>
      </c>
      <c r="P31" s="10" t="n">
        <f aca="false">-P30*Assumptions!$C$21</f>
        <v>-4736662.81828038</v>
      </c>
      <c r="Q31" s="10" t="n">
        <f aca="false">-Q30*Assumptions!$C$21</f>
        <v>-4878762.70282879</v>
      </c>
      <c r="R31" s="10" t="n">
        <f aca="false">-R30*Assumptions!$C$21</f>
        <v>-5025125.58391365</v>
      </c>
      <c r="S31" s="10" t="n">
        <f aca="false">-S30*Assumptions!$C$21</f>
        <v>-5175879.35143106</v>
      </c>
      <c r="T31" s="10" t="n">
        <f aca="false">-T30*Assumptions!$C$21</f>
        <v>-5331155.73197399</v>
      </c>
      <c r="U31" s="10" t="n">
        <f aca="false">-U30*Assumptions!$C$21</f>
        <v>-5491090.40393322</v>
      </c>
      <c r="V31" s="10" t="n">
        <f aca="false">-V30*Assumptions!$C$21</f>
        <v>-5655823.11605121</v>
      </c>
      <c r="W31" s="10" t="n">
        <f aca="false">-W30*Assumptions!$C$21</f>
        <v>-5825497.80953275</v>
      </c>
      <c r="X31" s="10" t="n">
        <f aca="false">-X30*Assumptions!$C$21</f>
        <v>-6000262.74381873</v>
      </c>
      <c r="Y31" s="10" t="n">
        <f aca="false">-Y30*Assumptions!$C$21</f>
        <v>-6180270.62613329</v>
      </c>
      <c r="Z31" s="10" t="n">
        <f aca="false">-Z30*Assumptions!$C$21</f>
        <v>-6365678.74491729</v>
      </c>
      <c r="AA31" s="10" t="n">
        <f aca="false">-AA30*Assumptions!$C$21</f>
        <v>-6556649.10726481</v>
      </c>
      <c r="AB31" s="10" t="n">
        <f aca="false">-AB30*Assumptions!$C$21</f>
        <v>-6753348.58048276</v>
      </c>
      <c r="AC31" s="10" t="n">
        <f aca="false">-AC30*Assumptions!$C$21</f>
        <v>-6955949.03789724</v>
      </c>
      <c r="AD31" s="10" t="n">
        <f aca="false">-AD30*Assumptions!$C$21</f>
        <v>-7164627.50903416</v>
      </c>
      <c r="AE31" s="10" t="n">
        <f aca="false">-AE30*Assumptions!$C$21</f>
        <v>-7379566.33430518</v>
      </c>
      <c r="AF31" s="10" t="n">
        <f aca="false">-AF30*Assumptions!$C$21</f>
        <v>-7600953.32433434</v>
      </c>
      <c r="AG31" s="10" t="n">
        <f aca="false">-AG30*Assumptions!$C$21</f>
        <v>-7828981.92406437</v>
      </c>
    </row>
    <row r="32" customFormat="false" ht="15" hidden="false" customHeight="true" outlineLevel="0" collapsed="false">
      <c r="B32" s="3" t="s">
        <v>109</v>
      </c>
      <c r="C32" s="10" t="n">
        <f aca="false">-C30*Assumptions!$C$22</f>
        <v>-102200</v>
      </c>
      <c r="D32" s="10" t="n">
        <f aca="false">-D30*Assumptions!$C$22</f>
        <v>-953866.666666667</v>
      </c>
      <c r="E32" s="10" t="n">
        <f aca="false">-E30*Assumptions!$C$22</f>
        <v>-1788080</v>
      </c>
      <c r="F32" s="10" t="n">
        <f aca="false">-F30*Assumptions!$C$22</f>
        <v>-3085380.10666667</v>
      </c>
      <c r="G32" s="10" t="n">
        <f aca="false">-G30*Assumptions!$C$22</f>
        <v>-3571359.6541</v>
      </c>
      <c r="H32" s="10" t="n">
        <f aca="false">-H30*Assumptions!$C$22</f>
        <v>-3739165.368582</v>
      </c>
      <c r="I32" s="10" t="n">
        <f aca="false">-I30*Assumptions!$C$22</f>
        <v>-3851340.32963946</v>
      </c>
      <c r="J32" s="10" t="n">
        <f aca="false">-J30*Assumptions!$C$22</f>
        <v>-3966880.53952865</v>
      </c>
      <c r="K32" s="10" t="n">
        <f aca="false">-K30*Assumptions!$C$22</f>
        <v>-4085886.9557145</v>
      </c>
      <c r="L32" s="10" t="n">
        <f aca="false">-L30*Assumptions!$C$22</f>
        <v>-4208463.56438594</v>
      </c>
      <c r="M32" s="10" t="n">
        <f aca="false">-M30*Assumptions!$C$22</f>
        <v>-4334717.47131752</v>
      </c>
      <c r="N32" s="10" t="n">
        <f aca="false">-N30*Assumptions!$C$22</f>
        <v>-4464758.99545704</v>
      </c>
      <c r="O32" s="10" t="n">
        <f aca="false">-O30*Assumptions!$C$22</f>
        <v>-4598701.76532076</v>
      </c>
      <c r="P32" s="10" t="n">
        <f aca="false">-P30*Assumptions!$C$22</f>
        <v>-4736662.81828038</v>
      </c>
      <c r="Q32" s="10" t="n">
        <f aca="false">-Q30*Assumptions!$C$22</f>
        <v>-4878762.70282879</v>
      </c>
      <c r="R32" s="10" t="n">
        <f aca="false">-R30*Assumptions!$C$22</f>
        <v>-5025125.58391365</v>
      </c>
      <c r="S32" s="10" t="n">
        <f aca="false">-S30*Assumptions!$C$22</f>
        <v>-5175879.35143106</v>
      </c>
      <c r="T32" s="10" t="n">
        <f aca="false">-T30*Assumptions!$C$22</f>
        <v>-5331155.73197399</v>
      </c>
      <c r="U32" s="10" t="n">
        <f aca="false">-U30*Assumptions!$C$22</f>
        <v>-5491090.40393322</v>
      </c>
      <c r="V32" s="10" t="n">
        <f aca="false">-V30*Assumptions!$C$22</f>
        <v>-5655823.11605121</v>
      </c>
      <c r="W32" s="10" t="n">
        <f aca="false">-W30*Assumptions!$C$22</f>
        <v>-5825497.80953275</v>
      </c>
      <c r="X32" s="10" t="n">
        <f aca="false">-X30*Assumptions!$C$22</f>
        <v>-6000262.74381873</v>
      </c>
      <c r="Y32" s="10" t="n">
        <f aca="false">-Y30*Assumptions!$C$22</f>
        <v>-6180270.62613329</v>
      </c>
      <c r="Z32" s="10" t="n">
        <f aca="false">-Z30*Assumptions!$C$22</f>
        <v>-6365678.74491729</v>
      </c>
      <c r="AA32" s="10" t="n">
        <f aca="false">-AA30*Assumptions!$C$22</f>
        <v>-6556649.10726481</v>
      </c>
      <c r="AB32" s="10" t="n">
        <f aca="false">-AB30*Assumptions!$C$22</f>
        <v>-6753348.58048276</v>
      </c>
      <c r="AC32" s="10" t="n">
        <f aca="false">-AC30*Assumptions!$C$22</f>
        <v>-6955949.03789724</v>
      </c>
      <c r="AD32" s="10" t="n">
        <f aca="false">-AD30*Assumptions!$C$22</f>
        <v>-7164627.50903416</v>
      </c>
      <c r="AE32" s="10" t="n">
        <f aca="false">-AE30*Assumptions!$C$22</f>
        <v>-7379566.33430518</v>
      </c>
      <c r="AF32" s="10" t="n">
        <f aca="false">-AF30*Assumptions!$C$22</f>
        <v>-7600953.32433434</v>
      </c>
      <c r="AG32" s="10" t="n">
        <f aca="false">-AG30*Assumptions!$C$22</f>
        <v>-7828981.92406437</v>
      </c>
    </row>
    <row r="33" customFormat="false" ht="15" hidden="false" customHeight="true" outlineLevel="0" collapsed="false">
      <c r="B33" s="8" t="s">
        <v>110</v>
      </c>
      <c r="C33" s="19" t="n">
        <f aca="false">C30+C31+C32</f>
        <v>817600</v>
      </c>
      <c r="D33" s="19" t="n">
        <f aca="false">D30+D31+D32</f>
        <v>7630933.33333334</v>
      </c>
      <c r="E33" s="19" t="n">
        <f aca="false">E30+E31+E32</f>
        <v>14304640</v>
      </c>
      <c r="F33" s="19" t="n">
        <f aca="false">F30+F31+F32</f>
        <v>24683040.8533333</v>
      </c>
      <c r="G33" s="19" t="n">
        <f aca="false">G30+G31+G32</f>
        <v>28570877.2328</v>
      </c>
      <c r="H33" s="19" t="n">
        <f aca="false">H30+H31+H32</f>
        <v>29913322.948656</v>
      </c>
      <c r="I33" s="19" t="n">
        <f aca="false">I30+I31+I32</f>
        <v>30810722.6371157</v>
      </c>
      <c r="J33" s="19" t="n">
        <f aca="false">J30+J31+J32</f>
        <v>31735044.3162292</v>
      </c>
      <c r="K33" s="19" t="n">
        <f aca="false">K30+K31+K32</f>
        <v>32687095.645716</v>
      </c>
      <c r="L33" s="19" t="n">
        <f aca="false">L30+L31+L32</f>
        <v>33667708.5150875</v>
      </c>
      <c r="M33" s="19" t="n">
        <f aca="false">M30+M31+M32</f>
        <v>34677739.7705402</v>
      </c>
      <c r="N33" s="19" t="n">
        <f aca="false">N30+N31+N32</f>
        <v>35718071.9636563</v>
      </c>
      <c r="O33" s="19" t="n">
        <f aca="false">O30+O31+O32</f>
        <v>36789614.122566</v>
      </c>
      <c r="P33" s="19" t="n">
        <f aca="false">P30+P31+P32</f>
        <v>37893302.546243</v>
      </c>
      <c r="Q33" s="19" t="n">
        <f aca="false">Q30+Q31+Q32</f>
        <v>39030101.6226303</v>
      </c>
      <c r="R33" s="19" t="n">
        <f aca="false">R30+R31+R32</f>
        <v>40201004.6713092</v>
      </c>
      <c r="S33" s="19" t="n">
        <f aca="false">S30+S31+S32</f>
        <v>41407034.8114485</v>
      </c>
      <c r="T33" s="19" t="n">
        <f aca="false">T30+T31+T32</f>
        <v>42649245.855792</v>
      </c>
      <c r="U33" s="19" t="n">
        <f aca="false">U30+U31+U32</f>
        <v>43928723.2314657</v>
      </c>
      <c r="V33" s="19" t="n">
        <f aca="false">V30+V31+V32</f>
        <v>45246584.9284097</v>
      </c>
      <c r="W33" s="19" t="n">
        <f aca="false">W30+W31+W32</f>
        <v>46603982.476262</v>
      </c>
      <c r="X33" s="19" t="n">
        <f aca="false">X30+X31+X32</f>
        <v>48002101.9505498</v>
      </c>
      <c r="Y33" s="19" t="n">
        <f aca="false">Y30+Y31+Y32</f>
        <v>49442165.0090663</v>
      </c>
      <c r="Z33" s="19" t="n">
        <f aca="false">Z30+Z31+Z32</f>
        <v>50925429.9593383</v>
      </c>
      <c r="AA33" s="19" t="n">
        <f aca="false">AA30+AA31+AA32</f>
        <v>52453192.8581185</v>
      </c>
      <c r="AB33" s="19" t="n">
        <f aca="false">AB30+AB31+AB32</f>
        <v>54026788.643862</v>
      </c>
      <c r="AC33" s="19" t="n">
        <f aca="false">AC30+AC31+AC32</f>
        <v>55647592.3031779</v>
      </c>
      <c r="AD33" s="19" t="n">
        <f aca="false">AD30+AD31+AD32</f>
        <v>57317020.0722732</v>
      </c>
      <c r="AE33" s="19" t="n">
        <f aca="false">AE30+AE31+AE32</f>
        <v>59036530.6744414</v>
      </c>
      <c r="AF33" s="19" t="n">
        <f aca="false">AF30+AF31+AF32</f>
        <v>60807626.5946747</v>
      </c>
      <c r="AG33" s="19" t="n">
        <f aca="false">AG30+AG31+AG32</f>
        <v>62631855.3925149</v>
      </c>
    </row>
    <row r="34" customFormat="false" ht="15" hidden="false" customHeight="true" outlineLevel="0" collapsed="false"/>
    <row r="35" customFormat="false" ht="15" hidden="false" customHeight="true" outlineLevel="0" collapsed="false">
      <c r="B35" s="13" t="s">
        <v>111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36" customFormat="false" ht="15" hidden="false" customHeight="true" outlineLevel="0" collapsed="false">
      <c r="B36" s="3" t="s">
        <v>112</v>
      </c>
      <c r="C36" s="20" t="n">
        <f aca="false">(1+Assumptions!$C$27)^(MAX(C$4,1)-1)</f>
        <v>1</v>
      </c>
      <c r="D36" s="20" t="n">
        <f aca="false">(1+Assumptions!$C$27)^(MAX(D$4,1)-1)</f>
        <v>1</v>
      </c>
      <c r="E36" s="20" t="n">
        <f aca="false">(1+Assumptions!$C$27)^(MAX(E$4,1)-1)</f>
        <v>1.03</v>
      </c>
      <c r="F36" s="20" t="n">
        <f aca="false">(1+Assumptions!$C$27)^(MAX(F$4,1)-1)</f>
        <v>1.0609</v>
      </c>
      <c r="G36" s="20" t="n">
        <f aca="false">(1+Assumptions!$C$27)^(MAX(G$4,1)-1)</f>
        <v>1.092727</v>
      </c>
      <c r="H36" s="20" t="n">
        <f aca="false">(1+Assumptions!$C$27)^(MAX(H$4,1)-1)</f>
        <v>1.12550881</v>
      </c>
      <c r="I36" s="20" t="n">
        <f aca="false">(1+Assumptions!$C$27)^(MAX(I$4,1)-1)</f>
        <v>1.1592740743</v>
      </c>
      <c r="J36" s="20" t="n">
        <f aca="false">(1+Assumptions!$C$27)^(MAX(J$4,1)-1)</f>
        <v>1.194052296529</v>
      </c>
      <c r="K36" s="20" t="n">
        <f aca="false">(1+Assumptions!$C$27)^(MAX(K$4,1)-1)</f>
        <v>1.22987386542487</v>
      </c>
      <c r="L36" s="20" t="n">
        <f aca="false">(1+Assumptions!$C$27)^(MAX(L$4,1)-1)</f>
        <v>1.26677008138762</v>
      </c>
      <c r="M36" s="20" t="n">
        <f aca="false">(1+Assumptions!$C$27)^(MAX(M$4,1)-1)</f>
        <v>1.30477318382925</v>
      </c>
      <c r="N36" s="20" t="n">
        <f aca="false">(1+Assumptions!$C$27)^(MAX(N$4,1)-1)</f>
        <v>1.34391637934412</v>
      </c>
      <c r="O36" s="20" t="n">
        <f aca="false">(1+Assumptions!$C$27)^(MAX(O$4,1)-1)</f>
        <v>1.38423387072445</v>
      </c>
      <c r="P36" s="20" t="n">
        <f aca="false">(1+Assumptions!$C$27)^(MAX(P$4,1)-1)</f>
        <v>1.42576088684618</v>
      </c>
      <c r="Q36" s="20" t="n">
        <f aca="false">(1+Assumptions!$C$27)^(MAX(Q$4,1)-1)</f>
        <v>1.46853371345156</v>
      </c>
      <c r="R36" s="20" t="n">
        <f aca="false">(1+Assumptions!$C$27)^(MAX(R$4,1)-1)</f>
        <v>1.51258972485511</v>
      </c>
      <c r="S36" s="20" t="n">
        <f aca="false">(1+Assumptions!$C$27)^(MAX(S$4,1)-1)</f>
        <v>1.55796741660077</v>
      </c>
      <c r="T36" s="20" t="n">
        <f aca="false">(1+Assumptions!$C$27)^(MAX(T$4,1)-1)</f>
        <v>1.60470643909879</v>
      </c>
      <c r="U36" s="20" t="n">
        <f aca="false">(1+Assumptions!$C$27)^(MAX(U$4,1)-1)</f>
        <v>1.65284763227175</v>
      </c>
      <c r="V36" s="20" t="n">
        <f aca="false">(1+Assumptions!$C$27)^(MAX(V$4,1)-1)</f>
        <v>1.7024330612399</v>
      </c>
      <c r="W36" s="20" t="n">
        <f aca="false">(1+Assumptions!$C$27)^(MAX(W$4,1)-1)</f>
        <v>1.7535060530771</v>
      </c>
      <c r="X36" s="20" t="n">
        <f aca="false">(1+Assumptions!$C$27)^(MAX(X$4,1)-1)</f>
        <v>1.80611123466941</v>
      </c>
      <c r="Y36" s="20" t="n">
        <f aca="false">(1+Assumptions!$C$27)^(MAX(Y$4,1)-1)</f>
        <v>1.8602945717095</v>
      </c>
      <c r="Z36" s="20" t="n">
        <f aca="false">(1+Assumptions!$C$27)^(MAX(Z$4,1)-1)</f>
        <v>1.91610340886078</v>
      </c>
      <c r="AA36" s="20" t="n">
        <f aca="false">(1+Assumptions!$C$27)^(MAX(AA$4,1)-1)</f>
        <v>1.97358651112661</v>
      </c>
      <c r="AB36" s="20" t="n">
        <f aca="false">(1+Assumptions!$C$27)^(MAX(AB$4,1)-1)</f>
        <v>2.0327941064604</v>
      </c>
      <c r="AC36" s="20" t="n">
        <f aca="false">(1+Assumptions!$C$27)^(MAX(AC$4,1)-1)</f>
        <v>2.09377792965422</v>
      </c>
      <c r="AD36" s="20" t="n">
        <f aca="false">(1+Assumptions!$C$27)^(MAX(AD$4,1)-1)</f>
        <v>2.15659126754384</v>
      </c>
      <c r="AE36" s="20" t="n">
        <f aca="false">(1+Assumptions!$C$27)^(MAX(AE$4,1)-1)</f>
        <v>2.22128900557016</v>
      </c>
      <c r="AF36" s="20" t="n">
        <f aca="false">(1+Assumptions!$C$27)^(MAX(AF$4,1)-1)</f>
        <v>2.28792767573726</v>
      </c>
      <c r="AG36" s="20" t="n">
        <f aca="false">(1+Assumptions!$C$27)^(MAX(AG$4,1)-1)</f>
        <v>2.35656550600938</v>
      </c>
    </row>
    <row r="37" customFormat="false" ht="15" hidden="false" customHeight="true" outlineLevel="0" collapsed="false">
      <c r="B37" s="3" t="s">
        <v>113</v>
      </c>
      <c r="C37" s="18" t="n">
        <f aca="false">IF(C$4=0,Assumptions!$C$58,1)</f>
        <v>0.25</v>
      </c>
      <c r="D37" s="18" t="n">
        <f aca="false">IF(D$4=0,Assumptions!$C$58,1)</f>
        <v>1</v>
      </c>
      <c r="E37" s="18" t="n">
        <f aca="false">IF(E$4=0,Assumptions!$C$58,1)</f>
        <v>1</v>
      </c>
      <c r="F37" s="18" t="n">
        <f aca="false">IF(F$4=0,Assumptions!$C$58,1)</f>
        <v>1</v>
      </c>
      <c r="G37" s="18" t="n">
        <f aca="false">IF(G$4=0,Assumptions!$C$58,1)</f>
        <v>1</v>
      </c>
      <c r="H37" s="18" t="n">
        <f aca="false">IF(H$4=0,Assumptions!$C$58,1)</f>
        <v>1</v>
      </c>
      <c r="I37" s="18" t="n">
        <f aca="false">IF(I$4=0,Assumptions!$C$58,1)</f>
        <v>1</v>
      </c>
      <c r="J37" s="18" t="n">
        <f aca="false">IF(J$4=0,Assumptions!$C$58,1)</f>
        <v>1</v>
      </c>
      <c r="K37" s="18" t="n">
        <f aca="false">IF(K$4=0,Assumptions!$C$58,1)</f>
        <v>1</v>
      </c>
      <c r="L37" s="18" t="n">
        <f aca="false">IF(L$4=0,Assumptions!$C$58,1)</f>
        <v>1</v>
      </c>
      <c r="M37" s="18" t="n">
        <f aca="false">IF(M$4=0,Assumptions!$C$58,1)</f>
        <v>1</v>
      </c>
      <c r="N37" s="18" t="n">
        <f aca="false">IF(N$4=0,Assumptions!$C$58,1)</f>
        <v>1</v>
      </c>
      <c r="O37" s="18" t="n">
        <f aca="false">IF(O$4=0,Assumptions!$C$58,1)</f>
        <v>1</v>
      </c>
      <c r="P37" s="18" t="n">
        <f aca="false">IF(P$4=0,Assumptions!$C$58,1)</f>
        <v>1</v>
      </c>
      <c r="Q37" s="18" t="n">
        <f aca="false">IF(Q$4=0,Assumptions!$C$58,1)</f>
        <v>1</v>
      </c>
      <c r="R37" s="18" t="n">
        <f aca="false">IF(R$4=0,Assumptions!$C$58,1)</f>
        <v>1</v>
      </c>
      <c r="S37" s="18" t="n">
        <f aca="false">IF(S$4=0,Assumptions!$C$58,1)</f>
        <v>1</v>
      </c>
      <c r="T37" s="18" t="n">
        <f aca="false">IF(T$4=0,Assumptions!$C$58,1)</f>
        <v>1</v>
      </c>
      <c r="U37" s="18" t="n">
        <f aca="false">IF(U$4=0,Assumptions!$C$58,1)</f>
        <v>1</v>
      </c>
      <c r="V37" s="18" t="n">
        <f aca="false">IF(V$4=0,Assumptions!$C$58,1)</f>
        <v>1</v>
      </c>
      <c r="W37" s="18" t="n">
        <f aca="false">IF(W$4=0,Assumptions!$C$58,1)</f>
        <v>1</v>
      </c>
      <c r="X37" s="18" t="n">
        <f aca="false">IF(X$4=0,Assumptions!$C$58,1)</f>
        <v>1</v>
      </c>
      <c r="Y37" s="18" t="n">
        <f aca="false">IF(Y$4=0,Assumptions!$C$58,1)</f>
        <v>1</v>
      </c>
      <c r="Z37" s="18" t="n">
        <f aca="false">IF(Z$4=0,Assumptions!$C$58,1)</f>
        <v>1</v>
      </c>
      <c r="AA37" s="18" t="n">
        <f aca="false">IF(AA$4=0,Assumptions!$C$58,1)</f>
        <v>1</v>
      </c>
      <c r="AB37" s="18" t="n">
        <f aca="false">IF(AB$4=0,Assumptions!$C$58,1)</f>
        <v>1</v>
      </c>
      <c r="AC37" s="18" t="n">
        <f aca="false">IF(AC$4=0,Assumptions!$C$58,1)</f>
        <v>1</v>
      </c>
      <c r="AD37" s="18" t="n">
        <f aca="false">IF(AD$4=0,Assumptions!$C$58,1)</f>
        <v>1</v>
      </c>
      <c r="AE37" s="18" t="n">
        <f aca="false">IF(AE$4=0,Assumptions!$C$58,1)</f>
        <v>1</v>
      </c>
      <c r="AF37" s="18" t="n">
        <f aca="false">IF(AF$4=0,Assumptions!$C$58,1)</f>
        <v>1</v>
      </c>
      <c r="AG37" s="18" t="n">
        <f aca="false">IF(AG$4=0,Assumptions!$C$58,1)</f>
        <v>1</v>
      </c>
    </row>
    <row r="38" customFormat="false" ht="15" hidden="false" customHeight="true" outlineLevel="0" collapsed="false">
      <c r="B38" s="3" t="s">
        <v>114</v>
      </c>
      <c r="C38" s="10" t="n">
        <f aca="false">-Assumptions!$C$43*C15*C36</f>
        <v>-33000</v>
      </c>
      <c r="D38" s="10" t="n">
        <f aca="false">-Assumptions!$C$43*D15*D36</f>
        <v>-308000</v>
      </c>
      <c r="E38" s="10" t="n">
        <f aca="false">-Assumptions!$C$43*E15*E36</f>
        <v>-543840</v>
      </c>
      <c r="F38" s="10" t="n">
        <f aca="false">-Assumptions!$C$43*F15*F36</f>
        <v>-886912.4</v>
      </c>
      <c r="G38" s="10" t="n">
        <f aca="false">-Assumptions!$C$43*G15*G36</f>
        <v>-1009679.748</v>
      </c>
      <c r="H38" s="10" t="n">
        <f aca="false">-Assumptions!$C$43*H15*H36</f>
        <v>-1039970.14044</v>
      </c>
      <c r="I38" s="10" t="n">
        <f aca="false">-Assumptions!$C$43*I15*I36</f>
        <v>-1071169.2446532</v>
      </c>
      <c r="J38" s="10" t="n">
        <f aca="false">-Assumptions!$C$43*J15*J36</f>
        <v>-1103304.3219928</v>
      </c>
      <c r="K38" s="10" t="n">
        <f aca="false">-Assumptions!$C$43*K15*K36</f>
        <v>-1136403.45165258</v>
      </c>
      <c r="L38" s="10" t="n">
        <f aca="false">-Assumptions!$C$43*L15*L36</f>
        <v>-1170495.55520216</v>
      </c>
      <c r="M38" s="10" t="n">
        <f aca="false">-Assumptions!$C$43*M15*M36</f>
        <v>-1205610.42185822</v>
      </c>
      <c r="N38" s="10" t="n">
        <f aca="false">-Assumptions!$C$43*N15*N36</f>
        <v>-1241778.73451397</v>
      </c>
      <c r="O38" s="10" t="n">
        <f aca="false">-Assumptions!$C$43*O15*O36</f>
        <v>-1279032.09654939</v>
      </c>
      <c r="P38" s="10" t="n">
        <f aca="false">-Assumptions!$C$43*P15*P36</f>
        <v>-1317403.05944587</v>
      </c>
      <c r="Q38" s="10" t="n">
        <f aca="false">-Assumptions!$C$43*Q15*Q36</f>
        <v>-1356925.15122925</v>
      </c>
      <c r="R38" s="10" t="n">
        <f aca="false">-Assumptions!$C$43*R15*R36</f>
        <v>-1397632.90576612</v>
      </c>
      <c r="S38" s="10" t="n">
        <f aca="false">-Assumptions!$C$43*S15*S36</f>
        <v>-1439561.89293911</v>
      </c>
      <c r="T38" s="10" t="n">
        <f aca="false">-Assumptions!$C$43*T15*T36</f>
        <v>-1482748.74972728</v>
      </c>
      <c r="U38" s="10" t="n">
        <f aca="false">-Assumptions!$C$43*U15*U36</f>
        <v>-1527231.2122191</v>
      </c>
      <c r="V38" s="10" t="n">
        <f aca="false">-Assumptions!$C$43*V15*V36</f>
        <v>-1573048.14858567</v>
      </c>
      <c r="W38" s="10" t="n">
        <f aca="false">-Assumptions!$C$43*W15*W36</f>
        <v>-1620239.59304324</v>
      </c>
      <c r="X38" s="10" t="n">
        <f aca="false">-Assumptions!$C$43*X15*X36</f>
        <v>-1668846.78083454</v>
      </c>
      <c r="Y38" s="10" t="n">
        <f aca="false">-Assumptions!$C$43*Y15*Y36</f>
        <v>-1718912.18425958</v>
      </c>
      <c r="Z38" s="10" t="n">
        <f aca="false">-Assumptions!$C$43*Z15*Z36</f>
        <v>-1770479.54978736</v>
      </c>
      <c r="AA38" s="10" t="n">
        <f aca="false">-Assumptions!$C$43*AA15*AA36</f>
        <v>-1823593.93628098</v>
      </c>
      <c r="AB38" s="10" t="n">
        <f aca="false">-Assumptions!$C$43*AB15*AB36</f>
        <v>-1878301.75436941</v>
      </c>
      <c r="AC38" s="10" t="n">
        <f aca="false">-Assumptions!$C$43*AC15*AC36</f>
        <v>-1934650.8070005</v>
      </c>
      <c r="AD38" s="10" t="n">
        <f aca="false">-Assumptions!$C$43*AD15*AD36</f>
        <v>-1992690.33121051</v>
      </c>
      <c r="AE38" s="10" t="n">
        <f aca="false">-Assumptions!$C$43*AE15*AE36</f>
        <v>-2052471.04114683</v>
      </c>
      <c r="AF38" s="10" t="n">
        <f aca="false">-Assumptions!$C$43*AF15*AF36</f>
        <v>-2114045.17238123</v>
      </c>
      <c r="AG38" s="10" t="n">
        <f aca="false">-Assumptions!$C$43*AG15*AG36</f>
        <v>-2177466.52755267</v>
      </c>
    </row>
    <row r="39" customFormat="false" ht="15" hidden="false" customHeight="true" outlineLevel="0" collapsed="false">
      <c r="B39" s="3" t="s">
        <v>115</v>
      </c>
      <c r="C39" s="10" t="n">
        <f aca="false">-Assumptions!$C$44*C15*C36</f>
        <v>-13200</v>
      </c>
      <c r="D39" s="10" t="n">
        <f aca="false">-Assumptions!$C$44*D15*D36</f>
        <v>-123200</v>
      </c>
      <c r="E39" s="10" t="n">
        <f aca="false">-Assumptions!$C$44*E15*E36</f>
        <v>-217536</v>
      </c>
      <c r="F39" s="10" t="n">
        <f aca="false">-Assumptions!$C$44*F15*F36</f>
        <v>-354764.96</v>
      </c>
      <c r="G39" s="10" t="n">
        <f aca="false">-Assumptions!$C$44*G15*G36</f>
        <v>-403871.8992</v>
      </c>
      <c r="H39" s="10" t="n">
        <f aca="false">-Assumptions!$C$44*H15*H36</f>
        <v>-415988.056176</v>
      </c>
      <c r="I39" s="10" t="n">
        <f aca="false">-Assumptions!$C$44*I15*I36</f>
        <v>-428467.69786128</v>
      </c>
      <c r="J39" s="10" t="n">
        <f aca="false">-Assumptions!$C$44*J15*J36</f>
        <v>-441321.728797118</v>
      </c>
      <c r="K39" s="10" t="n">
        <f aca="false">-Assumptions!$C$44*K15*K36</f>
        <v>-454561.380661032</v>
      </c>
      <c r="L39" s="10" t="n">
        <f aca="false">-Assumptions!$C$44*L15*L36</f>
        <v>-468198.222080863</v>
      </c>
      <c r="M39" s="10" t="n">
        <f aca="false">-Assumptions!$C$44*M15*M36</f>
        <v>-482244.168743289</v>
      </c>
      <c r="N39" s="10" t="n">
        <f aca="false">-Assumptions!$C$44*N15*N36</f>
        <v>-496711.493805588</v>
      </c>
      <c r="O39" s="10" t="n">
        <f aca="false">-Assumptions!$C$44*O15*O36</f>
        <v>-511612.838619755</v>
      </c>
      <c r="P39" s="10" t="n">
        <f aca="false">-Assumptions!$C$44*P15*P36</f>
        <v>-526961.223778348</v>
      </c>
      <c r="Q39" s="10" t="n">
        <f aca="false">-Assumptions!$C$44*Q15*Q36</f>
        <v>-542770.060491698</v>
      </c>
      <c r="R39" s="10" t="n">
        <f aca="false">-Assumptions!$C$44*R15*R36</f>
        <v>-559053.162306449</v>
      </c>
      <c r="S39" s="10" t="n">
        <f aca="false">-Assumptions!$C$44*S15*S36</f>
        <v>-575824.757175643</v>
      </c>
      <c r="T39" s="10" t="n">
        <f aca="false">-Assumptions!$C$44*T15*T36</f>
        <v>-593099.499890912</v>
      </c>
      <c r="U39" s="10" t="n">
        <f aca="false">-Assumptions!$C$44*U15*U36</f>
        <v>-610892.484887639</v>
      </c>
      <c r="V39" s="10" t="n">
        <f aca="false">-Assumptions!$C$44*V15*V36</f>
        <v>-629219.259434269</v>
      </c>
      <c r="W39" s="10" t="n">
        <f aca="false">-Assumptions!$C$44*W15*W36</f>
        <v>-648095.837217297</v>
      </c>
      <c r="X39" s="10" t="n">
        <f aca="false">-Assumptions!$C$44*X15*X36</f>
        <v>-667538.712333816</v>
      </c>
      <c r="Y39" s="10" t="n">
        <f aca="false">-Assumptions!$C$44*Y15*Y36</f>
        <v>-687564.87370383</v>
      </c>
      <c r="Z39" s="10" t="n">
        <f aca="false">-Assumptions!$C$44*Z15*Z36</f>
        <v>-708191.819914945</v>
      </c>
      <c r="AA39" s="10" t="n">
        <f aca="false">-Assumptions!$C$44*AA15*AA36</f>
        <v>-729437.574512393</v>
      </c>
      <c r="AB39" s="10" t="n">
        <f aca="false">-Assumptions!$C$44*AB15*AB36</f>
        <v>-751320.701747765</v>
      </c>
      <c r="AC39" s="10" t="n">
        <f aca="false">-Assumptions!$C$44*AC15*AC36</f>
        <v>-773860.322800198</v>
      </c>
      <c r="AD39" s="10" t="n">
        <f aca="false">-Assumptions!$C$44*AD15*AD36</f>
        <v>-797076.132484204</v>
      </c>
      <c r="AE39" s="10" t="n">
        <f aca="false">-Assumptions!$C$44*AE15*AE36</f>
        <v>-820988.416458731</v>
      </c>
      <c r="AF39" s="10" t="n">
        <f aca="false">-Assumptions!$C$44*AF15*AF36</f>
        <v>-845618.068952492</v>
      </c>
      <c r="AG39" s="10" t="n">
        <f aca="false">-Assumptions!$C$44*AG15*AG36</f>
        <v>-870986.611021067</v>
      </c>
    </row>
    <row r="40" customFormat="false" ht="15" hidden="false" customHeight="true" outlineLevel="0" collapsed="false">
      <c r="B40" s="3" t="s">
        <v>116</v>
      </c>
      <c r="C40" s="10" t="n">
        <f aca="false">-Assumptions!$C$45*C15*C36</f>
        <v>-25000</v>
      </c>
      <c r="D40" s="10" t="n">
        <f aca="false">-Assumptions!$C$45*D15*D36</f>
        <v>-233333.333333333</v>
      </c>
      <c r="E40" s="10" t="n">
        <f aca="false">-Assumptions!$C$45*E15*E36</f>
        <v>-412000</v>
      </c>
      <c r="F40" s="10" t="n">
        <f aca="false">-Assumptions!$C$45*F15*F36</f>
        <v>-671903.333333333</v>
      </c>
      <c r="G40" s="10" t="n">
        <f aca="false">-Assumptions!$C$45*G15*G36</f>
        <v>-764908.9</v>
      </c>
      <c r="H40" s="10" t="n">
        <f aca="false">-Assumptions!$C$45*H15*H36</f>
        <v>-787856.167</v>
      </c>
      <c r="I40" s="10" t="n">
        <f aca="false">-Assumptions!$C$45*I15*I36</f>
        <v>-811491.85201</v>
      </c>
      <c r="J40" s="10" t="n">
        <f aca="false">-Assumptions!$C$45*J15*J36</f>
        <v>-835836.6075703</v>
      </c>
      <c r="K40" s="10" t="n">
        <f aca="false">-Assumptions!$C$45*K15*K36</f>
        <v>-860911.705797409</v>
      </c>
      <c r="L40" s="10" t="n">
        <f aca="false">-Assumptions!$C$45*L15*L36</f>
        <v>-886739.056971332</v>
      </c>
      <c r="M40" s="10" t="n">
        <f aca="false">-Assumptions!$C$45*M15*M36</f>
        <v>-913341.228680471</v>
      </c>
      <c r="N40" s="10" t="n">
        <f aca="false">-Assumptions!$C$45*N15*N36</f>
        <v>-940741.465540886</v>
      </c>
      <c r="O40" s="10" t="n">
        <f aca="false">-Assumptions!$C$45*O15*O36</f>
        <v>-968963.709507112</v>
      </c>
      <c r="P40" s="10" t="n">
        <f aca="false">-Assumptions!$C$45*P15*P36</f>
        <v>-998032.620792326</v>
      </c>
      <c r="Q40" s="10" t="n">
        <f aca="false">-Assumptions!$C$45*Q15*Q36</f>
        <v>-1027973.5994161</v>
      </c>
      <c r="R40" s="10" t="n">
        <f aca="false">-Assumptions!$C$45*R15*R36</f>
        <v>-1058812.80739858</v>
      </c>
      <c r="S40" s="10" t="n">
        <f aca="false">-Assumptions!$C$45*S15*S36</f>
        <v>-1090577.19162054</v>
      </c>
      <c r="T40" s="10" t="n">
        <f aca="false">-Assumptions!$C$45*T15*T36</f>
        <v>-1123294.50736915</v>
      </c>
      <c r="U40" s="10" t="n">
        <f aca="false">-Assumptions!$C$45*U15*U36</f>
        <v>-1156993.34259023</v>
      </c>
      <c r="V40" s="10" t="n">
        <f aca="false">-Assumptions!$C$45*V15*V36</f>
        <v>-1191703.14286793</v>
      </c>
      <c r="W40" s="10" t="n">
        <f aca="false">-Assumptions!$C$45*W15*W36</f>
        <v>-1227454.23715397</v>
      </c>
      <c r="X40" s="10" t="n">
        <f aca="false">-Assumptions!$C$45*X15*X36</f>
        <v>-1264277.86426859</v>
      </c>
      <c r="Y40" s="10" t="n">
        <f aca="false">-Assumptions!$C$45*Y15*Y36</f>
        <v>-1302206.20019665</v>
      </c>
      <c r="Z40" s="10" t="n">
        <f aca="false">-Assumptions!$C$45*Z15*Z36</f>
        <v>-1341272.38620255</v>
      </c>
      <c r="AA40" s="10" t="n">
        <f aca="false">-Assumptions!$C$45*AA15*AA36</f>
        <v>-1381510.55778862</v>
      </c>
      <c r="AB40" s="10" t="n">
        <f aca="false">-Assumptions!$C$45*AB15*AB36</f>
        <v>-1422955.87452228</v>
      </c>
      <c r="AC40" s="10" t="n">
        <f aca="false">-Assumptions!$C$45*AC15*AC36</f>
        <v>-1465644.55075795</v>
      </c>
      <c r="AD40" s="10" t="n">
        <f aca="false">-Assumptions!$C$45*AD15*AD36</f>
        <v>-1509613.88728069</v>
      </c>
      <c r="AE40" s="10" t="n">
        <f aca="false">-Assumptions!$C$45*AE15*AE36</f>
        <v>-1554902.30389911</v>
      </c>
      <c r="AF40" s="10" t="n">
        <f aca="false">-Assumptions!$C$45*AF15*AF36</f>
        <v>-1601549.37301608</v>
      </c>
      <c r="AG40" s="10" t="n">
        <f aca="false">-Assumptions!$C$45*AG15*AG36</f>
        <v>-1649595.85420657</v>
      </c>
    </row>
    <row r="41" customFormat="false" ht="15" hidden="false" customHeight="true" outlineLevel="0" collapsed="false">
      <c r="B41" s="3" t="s">
        <v>117</v>
      </c>
      <c r="C41" s="10" t="n">
        <f aca="false">-Assumptions!$C$46*C36*C37</f>
        <v>-62500</v>
      </c>
      <c r="D41" s="10" t="n">
        <f aca="false">-Assumptions!$C$46*D36*D37</f>
        <v>-250000</v>
      </c>
      <c r="E41" s="10" t="n">
        <f aca="false">-Assumptions!$C$46*E36*E37</f>
        <v>-257500</v>
      </c>
      <c r="F41" s="10" t="n">
        <f aca="false">-Assumptions!$C$46*F36*F37</f>
        <v>-265225</v>
      </c>
      <c r="G41" s="10" t="n">
        <f aca="false">-Assumptions!$C$46*G36*G37</f>
        <v>-273181.75</v>
      </c>
      <c r="H41" s="10" t="n">
        <f aca="false">-Assumptions!$C$46*H36*H37</f>
        <v>-281377.2025</v>
      </c>
      <c r="I41" s="10" t="n">
        <f aca="false">-Assumptions!$C$46*I36*I37</f>
        <v>-289818.518575</v>
      </c>
      <c r="J41" s="10" t="n">
        <f aca="false">-Assumptions!$C$46*J36*J37</f>
        <v>-298513.07413225</v>
      </c>
      <c r="K41" s="10" t="n">
        <f aca="false">-Assumptions!$C$46*K36*K37</f>
        <v>-307468.466356218</v>
      </c>
      <c r="L41" s="10" t="n">
        <f aca="false">-Assumptions!$C$46*L36*L37</f>
        <v>-316692.520346904</v>
      </c>
      <c r="M41" s="10" t="n">
        <f aca="false">-Assumptions!$C$46*M36*M37</f>
        <v>-326193.295957311</v>
      </c>
      <c r="N41" s="10" t="n">
        <f aca="false">-Assumptions!$C$46*N36*N37</f>
        <v>-335979.094836031</v>
      </c>
      <c r="O41" s="10" t="n">
        <f aca="false">-Assumptions!$C$46*O36*O37</f>
        <v>-346058.467681112</v>
      </c>
      <c r="P41" s="10" t="n">
        <f aca="false">-Assumptions!$C$46*P36*P37</f>
        <v>-356440.221711545</v>
      </c>
      <c r="Q41" s="10" t="n">
        <f aca="false">-Assumptions!$C$46*Q36*Q37</f>
        <v>-367133.428362891</v>
      </c>
      <c r="R41" s="10" t="n">
        <f aca="false">-Assumptions!$C$46*R36*R37</f>
        <v>-378147.431213778</v>
      </c>
      <c r="S41" s="10" t="n">
        <f aca="false">-Assumptions!$C$46*S36*S37</f>
        <v>-389491.854150191</v>
      </c>
      <c r="T41" s="10" t="n">
        <f aca="false">-Assumptions!$C$46*T36*T37</f>
        <v>-401176.609774697</v>
      </c>
      <c r="U41" s="10" t="n">
        <f aca="false">-Assumptions!$C$46*U36*U37</f>
        <v>-413211.908067938</v>
      </c>
      <c r="V41" s="10" t="n">
        <f aca="false">-Assumptions!$C$46*V36*V37</f>
        <v>-425608.265309976</v>
      </c>
      <c r="W41" s="10" t="n">
        <f aca="false">-Assumptions!$C$46*W36*W37</f>
        <v>-438376.513269275</v>
      </c>
      <c r="X41" s="10" t="n">
        <f aca="false">-Assumptions!$C$46*X36*X37</f>
        <v>-451527.808667354</v>
      </c>
      <c r="Y41" s="10" t="n">
        <f aca="false">-Assumptions!$C$46*Y36*Y37</f>
        <v>-465073.642927374</v>
      </c>
      <c r="Z41" s="10" t="n">
        <f aca="false">-Assumptions!$C$46*Z36*Z37</f>
        <v>-479025.852215196</v>
      </c>
      <c r="AA41" s="10" t="n">
        <f aca="false">-Assumptions!$C$46*AA36*AA37</f>
        <v>-493396.627781651</v>
      </c>
      <c r="AB41" s="10" t="n">
        <f aca="false">-Assumptions!$C$46*AB36*AB37</f>
        <v>-508198.526615101</v>
      </c>
      <c r="AC41" s="10" t="n">
        <f aca="false">-Assumptions!$C$46*AC36*AC37</f>
        <v>-523444.482413554</v>
      </c>
      <c r="AD41" s="10" t="n">
        <f aca="false">-Assumptions!$C$46*AD36*AD37</f>
        <v>-539147.816885961</v>
      </c>
      <c r="AE41" s="10" t="n">
        <f aca="false">-Assumptions!$C$46*AE36*AE37</f>
        <v>-555322.25139254</v>
      </c>
      <c r="AF41" s="10" t="n">
        <f aca="false">-Assumptions!$C$46*AF36*AF37</f>
        <v>-571981.918934316</v>
      </c>
      <c r="AG41" s="10" t="n">
        <f aca="false">-Assumptions!$C$46*AG36*AG37</f>
        <v>-589141.376502345</v>
      </c>
    </row>
    <row r="42" customFormat="false" ht="15" hidden="false" customHeight="true" outlineLevel="0" collapsed="false">
      <c r="B42" s="3" t="s">
        <v>118</v>
      </c>
      <c r="C42" s="10" t="n">
        <f aca="false">-Assumptions!$C$47*C36*C37</f>
        <v>-66000</v>
      </c>
      <c r="D42" s="10" t="n">
        <f aca="false">-Assumptions!$C$47*D36*D37</f>
        <v>-264000</v>
      </c>
      <c r="E42" s="10" t="n">
        <f aca="false">-Assumptions!$C$47*E36*E37</f>
        <v>-271920</v>
      </c>
      <c r="F42" s="10" t="n">
        <f aca="false">-Assumptions!$C$47*F36*F37</f>
        <v>-280077.6</v>
      </c>
      <c r="G42" s="10" t="n">
        <f aca="false">-Assumptions!$C$47*G36*G37</f>
        <v>-288479.928</v>
      </c>
      <c r="H42" s="10" t="n">
        <f aca="false">-Assumptions!$C$47*H36*H37</f>
        <v>-297134.32584</v>
      </c>
      <c r="I42" s="10" t="n">
        <f aca="false">-Assumptions!$C$47*I36*I37</f>
        <v>-306048.3556152</v>
      </c>
      <c r="J42" s="10" t="n">
        <f aca="false">-Assumptions!$C$47*J36*J37</f>
        <v>-315229.806283656</v>
      </c>
      <c r="K42" s="10" t="n">
        <f aca="false">-Assumptions!$C$47*K36*K37</f>
        <v>-324686.700472166</v>
      </c>
      <c r="L42" s="10" t="n">
        <f aca="false">-Assumptions!$C$47*L36*L37</f>
        <v>-334427.301486331</v>
      </c>
      <c r="M42" s="10" t="n">
        <f aca="false">-Assumptions!$C$47*M36*M37</f>
        <v>-344460.120530921</v>
      </c>
      <c r="N42" s="10" t="n">
        <f aca="false">-Assumptions!$C$47*N36*N37</f>
        <v>-354793.924146848</v>
      </c>
      <c r="O42" s="10" t="n">
        <f aca="false">-Assumptions!$C$47*O36*O37</f>
        <v>-365437.741871254</v>
      </c>
      <c r="P42" s="10" t="n">
        <f aca="false">-Assumptions!$C$47*P36*P37</f>
        <v>-376400.874127391</v>
      </c>
      <c r="Q42" s="10" t="n">
        <f aca="false">-Assumptions!$C$47*Q36*Q37</f>
        <v>-387692.900351213</v>
      </c>
      <c r="R42" s="10" t="n">
        <f aca="false">-Assumptions!$C$47*R36*R37</f>
        <v>-399323.68736175</v>
      </c>
      <c r="S42" s="10" t="n">
        <f aca="false">-Assumptions!$C$47*S36*S37</f>
        <v>-411303.397982602</v>
      </c>
      <c r="T42" s="10" t="n">
        <f aca="false">-Assumptions!$C$47*T36*T37</f>
        <v>-423642.49992208</v>
      </c>
      <c r="U42" s="10" t="n">
        <f aca="false">-Assumptions!$C$47*U36*U37</f>
        <v>-436351.774919743</v>
      </c>
      <c r="V42" s="10" t="n">
        <f aca="false">-Assumptions!$C$47*V36*V37</f>
        <v>-449442.328167335</v>
      </c>
      <c r="W42" s="10" t="n">
        <f aca="false">-Assumptions!$C$47*W36*W37</f>
        <v>-462925.598012355</v>
      </c>
      <c r="X42" s="10" t="n">
        <f aca="false">-Assumptions!$C$47*X36*X37</f>
        <v>-476813.365952726</v>
      </c>
      <c r="Y42" s="10" t="n">
        <f aca="false">-Assumptions!$C$47*Y36*Y37</f>
        <v>-491117.766931307</v>
      </c>
      <c r="Z42" s="10" t="n">
        <f aca="false">-Assumptions!$C$47*Z36*Z37</f>
        <v>-505851.299939247</v>
      </c>
      <c r="AA42" s="10" t="n">
        <f aca="false">-Assumptions!$C$47*AA36*AA37</f>
        <v>-521026.838937424</v>
      </c>
      <c r="AB42" s="10" t="n">
        <f aca="false">-Assumptions!$C$47*AB36*AB37</f>
        <v>-536657.644105547</v>
      </c>
      <c r="AC42" s="10" t="n">
        <f aca="false">-Assumptions!$C$47*AC36*AC37</f>
        <v>-552757.373428713</v>
      </c>
      <c r="AD42" s="10" t="n">
        <f aca="false">-Assumptions!$C$47*AD36*AD37</f>
        <v>-569340.094631575</v>
      </c>
      <c r="AE42" s="10" t="n">
        <f aca="false">-Assumptions!$C$47*AE36*AE37</f>
        <v>-586420.297470522</v>
      </c>
      <c r="AF42" s="10" t="n">
        <f aca="false">-Assumptions!$C$47*AF36*AF37</f>
        <v>-604012.906394637</v>
      </c>
      <c r="AG42" s="10" t="n">
        <f aca="false">-Assumptions!$C$47*AG36*AG37</f>
        <v>-622133.293586477</v>
      </c>
    </row>
    <row r="43" customFormat="false" ht="15" hidden="false" customHeight="true" outlineLevel="0" collapsed="false">
      <c r="B43" s="3" t="s">
        <v>71</v>
      </c>
      <c r="C43" s="10" t="n">
        <f aca="false">-INDEX(Assumptions!$C$51:$AF$51,1,MAX(C$4,1))*C37</f>
        <v>-102000</v>
      </c>
      <c r="D43" s="10" t="n">
        <f aca="false">-INDEX(Assumptions!$C$51:$AF$51,1,MAX(D$4,1))*D37</f>
        <v>-408000</v>
      </c>
      <c r="E43" s="10" t="n">
        <f aca="false">-INDEX(Assumptions!$C$51:$AF$51,1,MAX(E$4,1))*E37</f>
        <v>-408000</v>
      </c>
      <c r="F43" s="10" t="n">
        <f aca="false">-INDEX(Assumptions!$C$51:$AF$51,1,MAX(F$4,1))*F37</f>
        <v>-408000</v>
      </c>
      <c r="G43" s="10" t="n">
        <f aca="false">-INDEX(Assumptions!$C$51:$AF$51,1,MAX(G$4,1))*G37</f>
        <v>-428400</v>
      </c>
      <c r="H43" s="10" t="n">
        <f aca="false">-INDEX(Assumptions!$C$51:$AF$51,1,MAX(H$4,1))*H37</f>
        <v>-428400</v>
      </c>
      <c r="I43" s="10" t="n">
        <f aca="false">-INDEX(Assumptions!$C$51:$AF$51,1,MAX(I$4,1))*I37</f>
        <v>-428400</v>
      </c>
      <c r="J43" s="10" t="n">
        <f aca="false">-INDEX(Assumptions!$C$51:$AF$51,1,MAX(J$4,1))*J37</f>
        <v>-449820</v>
      </c>
      <c r="K43" s="10" t="n">
        <f aca="false">-INDEX(Assumptions!$C$51:$AF$51,1,MAX(K$4,1))*K37</f>
        <v>-449820</v>
      </c>
      <c r="L43" s="10" t="n">
        <f aca="false">-INDEX(Assumptions!$C$51:$AF$51,1,MAX(L$4,1))*L37</f>
        <v>-449820</v>
      </c>
      <c r="M43" s="10" t="n">
        <f aca="false">-INDEX(Assumptions!$C$51:$AF$51,1,MAX(M$4,1))*M37</f>
        <v>-472311</v>
      </c>
      <c r="N43" s="10" t="n">
        <f aca="false">-INDEX(Assumptions!$C$51:$AF$51,1,MAX(N$4,1))*N37</f>
        <v>-472311</v>
      </c>
      <c r="O43" s="10" t="n">
        <f aca="false">-INDEX(Assumptions!$C$51:$AF$51,1,MAX(O$4,1))*O37</f>
        <v>-472311</v>
      </c>
      <c r="P43" s="10" t="n">
        <f aca="false">-INDEX(Assumptions!$C$51:$AF$51,1,MAX(P$4,1))*P37</f>
        <v>-495926.55</v>
      </c>
      <c r="Q43" s="10" t="n">
        <f aca="false">-INDEX(Assumptions!$C$51:$AF$51,1,MAX(Q$4,1))*Q37</f>
        <v>-495926.55</v>
      </c>
      <c r="R43" s="10" t="n">
        <f aca="false">-INDEX(Assumptions!$C$51:$AF$51,1,MAX(R$4,1))*R37</f>
        <v>-495926.55</v>
      </c>
      <c r="S43" s="10" t="n">
        <f aca="false">-INDEX(Assumptions!$C$51:$AF$51,1,MAX(S$4,1))*S37</f>
        <v>-520722.8775</v>
      </c>
      <c r="T43" s="10" t="n">
        <f aca="false">-INDEX(Assumptions!$C$51:$AF$51,1,MAX(T$4,1))*T37</f>
        <v>-520722.8775</v>
      </c>
      <c r="U43" s="10" t="n">
        <f aca="false">-INDEX(Assumptions!$C$51:$AF$51,1,MAX(U$4,1))*U37</f>
        <v>-520722.8775</v>
      </c>
      <c r="V43" s="10" t="n">
        <f aca="false">-INDEX(Assumptions!$C$51:$AF$51,1,MAX(V$4,1))*V37</f>
        <v>-546759.0214</v>
      </c>
      <c r="W43" s="10" t="n">
        <f aca="false">-INDEX(Assumptions!$C$51:$AF$51,1,MAX(W$4,1))*W37</f>
        <v>-546759.0214</v>
      </c>
      <c r="X43" s="10" t="n">
        <f aca="false">-INDEX(Assumptions!$C$51:$AF$51,1,MAX(X$4,1))*X37</f>
        <v>-546759.0214</v>
      </c>
      <c r="Y43" s="10" t="n">
        <f aca="false">-INDEX(Assumptions!$C$51:$AF$51,1,MAX(Y$4,1))*Y37</f>
        <v>-574096.9724</v>
      </c>
      <c r="Z43" s="10" t="n">
        <f aca="false">-INDEX(Assumptions!$C$51:$AF$51,1,MAX(Z$4,1))*Z37</f>
        <v>-574096.9724</v>
      </c>
      <c r="AA43" s="10" t="n">
        <f aca="false">-INDEX(Assumptions!$C$51:$AF$51,1,MAX(AA$4,1))*AA37</f>
        <v>-574096.9724</v>
      </c>
      <c r="AB43" s="10" t="n">
        <f aca="false">-INDEX(Assumptions!$C$51:$AF$51,1,MAX(AB$4,1))*AB37</f>
        <v>-602801.8211</v>
      </c>
      <c r="AC43" s="10" t="n">
        <f aca="false">-INDEX(Assumptions!$C$51:$AF$51,1,MAX(AC$4,1))*AC37</f>
        <v>-602801.8211</v>
      </c>
      <c r="AD43" s="10" t="n">
        <f aca="false">-INDEX(Assumptions!$C$51:$AF$51,1,MAX(AD$4,1))*AD37</f>
        <v>-602801.8211</v>
      </c>
      <c r="AE43" s="10" t="n">
        <f aca="false">-INDEX(Assumptions!$C$51:$AF$51,1,MAX(AE$4,1))*AE37</f>
        <v>-632941.9121</v>
      </c>
      <c r="AF43" s="10" t="n">
        <f aca="false">-INDEX(Assumptions!$C$51:$AF$51,1,MAX(AF$4,1))*AF37</f>
        <v>-632941.9121</v>
      </c>
      <c r="AG43" s="10" t="n">
        <f aca="false">-INDEX(Assumptions!$C$51:$AF$51,1,MAX(AG$4,1))*AG37</f>
        <v>-632941.9121</v>
      </c>
    </row>
    <row r="44" customFormat="false" ht="15" hidden="false" customHeight="true" outlineLevel="0" collapsed="false">
      <c r="B44" s="3" t="s">
        <v>119</v>
      </c>
      <c r="C44" s="10" t="n">
        <f aca="false">-C30*Assumptions!$C$28</f>
        <v>-30660</v>
      </c>
      <c r="D44" s="10" t="n">
        <f aca="false">-D30*Assumptions!$C$28</f>
        <v>-286160</v>
      </c>
      <c r="E44" s="10" t="n">
        <f aca="false">-E30*Assumptions!$C$28</f>
        <v>-536424</v>
      </c>
      <c r="F44" s="10" t="n">
        <f aca="false">-F30*Assumptions!$C$28</f>
        <v>-925614.032</v>
      </c>
      <c r="G44" s="10" t="n">
        <f aca="false">-G30*Assumptions!$C$28</f>
        <v>-1071407.89623</v>
      </c>
      <c r="H44" s="10" t="n">
        <f aca="false">-H30*Assumptions!$C$28</f>
        <v>-1121749.6105746</v>
      </c>
      <c r="I44" s="10" t="n">
        <f aca="false">-I30*Assumptions!$C$28</f>
        <v>-1155402.09889184</v>
      </c>
      <c r="J44" s="10" t="n">
        <f aca="false">-J30*Assumptions!$C$28</f>
        <v>-1190064.16185859</v>
      </c>
      <c r="K44" s="10" t="n">
        <f aca="false">-K30*Assumptions!$C$28</f>
        <v>-1225766.08671435</v>
      </c>
      <c r="L44" s="10" t="n">
        <f aca="false">-L30*Assumptions!$C$28</f>
        <v>-1262539.06931578</v>
      </c>
      <c r="M44" s="10" t="n">
        <f aca="false">-M30*Assumptions!$C$28</f>
        <v>-1300415.24139526</v>
      </c>
      <c r="N44" s="10" t="n">
        <f aca="false">-N30*Assumptions!$C$28</f>
        <v>-1339427.69863711</v>
      </c>
      <c r="O44" s="10" t="n">
        <f aca="false">-O30*Assumptions!$C$28</f>
        <v>-1379610.52959623</v>
      </c>
      <c r="P44" s="10" t="n">
        <f aca="false">-P30*Assumptions!$C$28</f>
        <v>-1420998.84548411</v>
      </c>
      <c r="Q44" s="10" t="n">
        <f aca="false">-Q30*Assumptions!$C$28</f>
        <v>-1463628.81084864</v>
      </c>
      <c r="R44" s="10" t="n">
        <f aca="false">-R30*Assumptions!$C$28</f>
        <v>-1507537.6751741</v>
      </c>
      <c r="S44" s="10" t="n">
        <f aca="false">-S30*Assumptions!$C$28</f>
        <v>-1552763.80542932</v>
      </c>
      <c r="T44" s="10" t="n">
        <f aca="false">-T30*Assumptions!$C$28</f>
        <v>-1599346.7195922</v>
      </c>
      <c r="U44" s="10" t="n">
        <f aca="false">-U30*Assumptions!$C$28</f>
        <v>-1647327.12117996</v>
      </c>
      <c r="V44" s="10" t="n">
        <f aca="false">-V30*Assumptions!$C$28</f>
        <v>-1696746.93481536</v>
      </c>
      <c r="W44" s="10" t="n">
        <f aca="false">-W30*Assumptions!$C$28</f>
        <v>-1747649.34285982</v>
      </c>
      <c r="X44" s="10" t="n">
        <f aca="false">-X30*Assumptions!$C$28</f>
        <v>-1800078.82314562</v>
      </c>
      <c r="Y44" s="10" t="n">
        <f aca="false">-Y30*Assumptions!$C$28</f>
        <v>-1854081.18783999</v>
      </c>
      <c r="Z44" s="10" t="n">
        <f aca="false">-Z30*Assumptions!$C$28</f>
        <v>-1909703.62347519</v>
      </c>
      <c r="AA44" s="10" t="n">
        <f aca="false">-AA30*Assumptions!$C$28</f>
        <v>-1966994.73217944</v>
      </c>
      <c r="AB44" s="10" t="n">
        <f aca="false">-AB30*Assumptions!$C$28</f>
        <v>-2026004.57414483</v>
      </c>
      <c r="AC44" s="10" t="n">
        <f aca="false">-AC30*Assumptions!$C$28</f>
        <v>-2086784.71136917</v>
      </c>
      <c r="AD44" s="10" t="n">
        <f aca="false">-AD30*Assumptions!$C$28</f>
        <v>-2149388.25271025</v>
      </c>
      <c r="AE44" s="10" t="n">
        <f aca="false">-AE30*Assumptions!$C$28</f>
        <v>-2213869.90029155</v>
      </c>
      <c r="AF44" s="10" t="n">
        <f aca="false">-AF30*Assumptions!$C$28</f>
        <v>-2280285.9973003</v>
      </c>
      <c r="AG44" s="10" t="n">
        <f aca="false">-AG30*Assumptions!$C$28</f>
        <v>-2348694.57721931</v>
      </c>
    </row>
    <row r="45" customFormat="false" ht="15" hidden="false" customHeight="true" outlineLevel="0" collapsed="false">
      <c r="B45" s="8" t="s">
        <v>120</v>
      </c>
      <c r="C45" s="19" t="n">
        <f aca="false">SUM(C38:C44)</f>
        <v>-332360</v>
      </c>
      <c r="D45" s="19" t="n">
        <f aca="false">SUM(D38:D44)</f>
        <v>-1872693.33333333</v>
      </c>
      <c r="E45" s="19" t="n">
        <f aca="false">SUM(E38:E44)</f>
        <v>-2647220</v>
      </c>
      <c r="F45" s="19" t="n">
        <f aca="false">SUM(F38:F44)</f>
        <v>-3792497.32533333</v>
      </c>
      <c r="G45" s="19" t="n">
        <f aca="false">SUM(G38:G44)</f>
        <v>-4239930.12143</v>
      </c>
      <c r="H45" s="19" t="n">
        <f aca="false">SUM(H38:H44)</f>
        <v>-4372475.5025306</v>
      </c>
      <c r="I45" s="19" t="n">
        <f aca="false">SUM(I38:I44)</f>
        <v>-4490797.76760652</v>
      </c>
      <c r="J45" s="19" t="n">
        <f aca="false">SUM(J38:J44)</f>
        <v>-4634089.70063471</v>
      </c>
      <c r="K45" s="19" t="n">
        <f aca="false">SUM(K38:K44)</f>
        <v>-4759617.79165376</v>
      </c>
      <c r="L45" s="19" t="n">
        <f aca="false">SUM(L38:L44)</f>
        <v>-4888911.72540337</v>
      </c>
      <c r="M45" s="19" t="n">
        <f aca="false">SUM(M38:M44)</f>
        <v>-5044575.47716547</v>
      </c>
      <c r="N45" s="19" t="n">
        <f aca="false">SUM(N38:N44)</f>
        <v>-5181743.41148043</v>
      </c>
      <c r="O45" s="19" t="n">
        <f aca="false">SUM(O38:O44)</f>
        <v>-5323026.38382485</v>
      </c>
      <c r="P45" s="19" t="n">
        <f aca="false">SUM(P38:P44)</f>
        <v>-5492163.39533959</v>
      </c>
      <c r="Q45" s="19" t="n">
        <f aca="false">SUM(Q38:Q44)</f>
        <v>-5642050.50069978</v>
      </c>
      <c r="R45" s="19" t="n">
        <f aca="false">SUM(R38:R44)</f>
        <v>-5796434.21922077</v>
      </c>
      <c r="S45" s="19" t="n">
        <f aca="false">SUM(S38:S44)</f>
        <v>-5980245.7767974</v>
      </c>
      <c r="T45" s="19" t="n">
        <f aca="false">SUM(T38:T44)</f>
        <v>-6144031.46377632</v>
      </c>
      <c r="U45" s="19" t="n">
        <f aca="false">SUM(U38:U44)</f>
        <v>-6312730.72136461</v>
      </c>
      <c r="V45" s="19" t="n">
        <f aca="false">SUM(V38:V44)</f>
        <v>-6512527.10058055</v>
      </c>
      <c r="W45" s="19" t="n">
        <f aca="false">SUM(W38:W44)</f>
        <v>-6691500.14295596</v>
      </c>
      <c r="X45" s="19" t="n">
        <f aca="false">SUM(X38:X44)</f>
        <v>-6875842.37660264</v>
      </c>
      <c r="Y45" s="19" t="n">
        <f aca="false">SUM(Y38:Y44)</f>
        <v>-7093052.82825872</v>
      </c>
      <c r="Z45" s="19" t="n">
        <f aca="false">SUM(Z38:Z44)</f>
        <v>-7288621.50393449</v>
      </c>
      <c r="AA45" s="19" t="n">
        <f aca="false">SUM(AA38:AA44)</f>
        <v>-7490057.23988052</v>
      </c>
      <c r="AB45" s="19" t="n">
        <f aca="false">SUM(AB38:AB44)</f>
        <v>-7726240.89660494</v>
      </c>
      <c r="AC45" s="19" t="n">
        <f aca="false">SUM(AC38:AC44)</f>
        <v>-7939944.06887008</v>
      </c>
      <c r="AD45" s="19" t="n">
        <f aca="false">SUM(AD38:AD44)</f>
        <v>-8160058.33630319</v>
      </c>
      <c r="AE45" s="19" t="n">
        <f aca="false">SUM(AE38:AE44)</f>
        <v>-8416916.12275928</v>
      </c>
      <c r="AF45" s="19" t="n">
        <f aca="false">SUM(AF38:AF44)</f>
        <v>-8650435.34907906</v>
      </c>
      <c r="AG45" s="19" t="n">
        <f aca="false">SUM(AG38:AG44)</f>
        <v>-8890960.15218843</v>
      </c>
    </row>
    <row r="46" customFormat="false" ht="15" hidden="false" customHeight="true" outlineLevel="0" collapsed="false">
      <c r="B46" s="8" t="s">
        <v>121</v>
      </c>
      <c r="C46" s="19" t="n">
        <f aca="false">C33+C45</f>
        <v>485240</v>
      </c>
      <c r="D46" s="19" t="n">
        <f aca="false">D33+D45</f>
        <v>5758240</v>
      </c>
      <c r="E46" s="19" t="n">
        <f aca="false">E33+E45</f>
        <v>11657420</v>
      </c>
      <c r="F46" s="19" t="n">
        <f aca="false">F33+F45</f>
        <v>20890543.528</v>
      </c>
      <c r="G46" s="19" t="n">
        <f aca="false">G33+G45</f>
        <v>24330947.11137</v>
      </c>
      <c r="H46" s="19" t="n">
        <f aca="false">H33+H45</f>
        <v>25540847.4461254</v>
      </c>
      <c r="I46" s="19" t="n">
        <f aca="false">I33+I45</f>
        <v>26319924.8695092</v>
      </c>
      <c r="J46" s="19" t="n">
        <f aca="false">J33+J45</f>
        <v>27100954.6155944</v>
      </c>
      <c r="K46" s="19" t="n">
        <f aca="false">K33+K45</f>
        <v>27927477.8540623</v>
      </c>
      <c r="L46" s="19" t="n">
        <f aca="false">L33+L45</f>
        <v>28778796.7896841</v>
      </c>
      <c r="M46" s="19" t="n">
        <f aca="false">M33+M45</f>
        <v>29633164.2933747</v>
      </c>
      <c r="N46" s="19" t="n">
        <f aca="false">N33+N45</f>
        <v>30536328.5521759</v>
      </c>
      <c r="O46" s="19" t="n">
        <f aca="false">O33+O45</f>
        <v>31466587.7387412</v>
      </c>
      <c r="P46" s="19" t="n">
        <f aca="false">P33+P45</f>
        <v>32401139.1509034</v>
      </c>
      <c r="Q46" s="19" t="n">
        <f aca="false">Q33+Q45</f>
        <v>33388051.1219305</v>
      </c>
      <c r="R46" s="19" t="n">
        <f aca="false">R33+R45</f>
        <v>34404570.4520884</v>
      </c>
      <c r="S46" s="19" t="n">
        <f aca="false">S33+S45</f>
        <v>35426789.0346511</v>
      </c>
      <c r="T46" s="19" t="n">
        <f aca="false">T33+T45</f>
        <v>36505214.3920156</v>
      </c>
      <c r="U46" s="19" t="n">
        <f aca="false">U33+U45</f>
        <v>37615992.5101011</v>
      </c>
      <c r="V46" s="19" t="n">
        <f aca="false">V33+V45</f>
        <v>38734057.8278291</v>
      </c>
      <c r="W46" s="19" t="n">
        <f aca="false">W33+W45</f>
        <v>39912482.333306</v>
      </c>
      <c r="X46" s="19" t="n">
        <f aca="false">X33+X45</f>
        <v>41126259.5739472</v>
      </c>
      <c r="Y46" s="19" t="n">
        <f aca="false">Y33+Y45</f>
        <v>42349112.1808076</v>
      </c>
      <c r="Z46" s="19" t="n">
        <f aca="false">Z33+Z45</f>
        <v>43636808.4554038</v>
      </c>
      <c r="AA46" s="19" t="n">
        <f aca="false">AA33+AA45</f>
        <v>44963135.618238</v>
      </c>
      <c r="AB46" s="19" t="n">
        <f aca="false">AB33+AB45</f>
        <v>46300547.7472571</v>
      </c>
      <c r="AC46" s="19" t="n">
        <f aca="false">AC33+AC45</f>
        <v>47707648.2343078</v>
      </c>
      <c r="AD46" s="19" t="n">
        <f aca="false">AD33+AD45</f>
        <v>49156961.7359701</v>
      </c>
      <c r="AE46" s="19" t="n">
        <f aca="false">AE33+AE45</f>
        <v>50619614.5516821</v>
      </c>
      <c r="AF46" s="19" t="n">
        <f aca="false">AF33+AF45</f>
        <v>52157191.2455956</v>
      </c>
      <c r="AG46" s="19" t="n">
        <f aca="false">AG33+AG45</f>
        <v>53740895.2403265</v>
      </c>
    </row>
    <row r="47" customFormat="false" ht="15" hidden="false" customHeight="true" outlineLevel="0" collapsed="false">
      <c r="B47" s="3" t="s">
        <v>122</v>
      </c>
      <c r="C47" s="18" t="n">
        <f aca="false">IF(C30=0,0,C46/C30)</f>
        <v>0.474794520547945</v>
      </c>
      <c r="D47" s="18" t="n">
        <f aca="false">IF(D30=0,0,D46/D30)</f>
        <v>0.603673469387755</v>
      </c>
      <c r="E47" s="18" t="n">
        <f aca="false">IF(E30=0,0,E46/E30)</f>
        <v>0.6519518142365</v>
      </c>
      <c r="F47" s="18" t="n">
        <f aca="false">IF(F30=0,0,F46/F30)</f>
        <v>0.677081682184351</v>
      </c>
      <c r="G47" s="18" t="n">
        <f aca="false">IF(G30=0,0,G46/G30)</f>
        <v>0.681279665671239</v>
      </c>
      <c r="H47" s="18" t="n">
        <f aca="false">IF(H30=0,0,H46/H30)</f>
        <v>0.683062794192791</v>
      </c>
      <c r="I47" s="18" t="n">
        <f aca="false">IF(I30=0,0,I46/I30)</f>
        <v>0.683396496200404</v>
      </c>
      <c r="J47" s="18" t="n">
        <f aca="false">IF(J30=0,0,J46/J30)</f>
        <v>0.683180507845962</v>
      </c>
      <c r="K47" s="18" t="n">
        <f aca="false">IF(K30=0,0,K46/K30)</f>
        <v>0.68351078130057</v>
      </c>
      <c r="L47" s="18" t="n">
        <f aca="false">IF(L30=0,0,L46/L30)</f>
        <v>0.683831435139995</v>
      </c>
      <c r="M47" s="18" t="n">
        <f aca="false">IF(M30=0,0,M46/M30)</f>
        <v>0.683623892201856</v>
      </c>
      <c r="N47" s="18" t="n">
        <f aca="false">IF(N30=0,0,N46/N30)</f>
        <v>0.68394125154901</v>
      </c>
      <c r="O47" s="18" t="n">
        <f aca="false">IF(O30=0,0,O46/O30)</f>
        <v>0.684249367420034</v>
      </c>
      <c r="P47" s="18" t="n">
        <f aca="false">IF(P30=0,0,P46/P30)</f>
        <v>0.684049939671798</v>
      </c>
      <c r="Q47" s="18" t="n">
        <f aca="false">IF(Q30=0,0,Q46/Q30)</f>
        <v>0.684354889869343</v>
      </c>
      <c r="R47" s="18" t="n">
        <f aca="false">IF(R30=0,0,R46/R30)</f>
        <v>0.684650958022299</v>
      </c>
      <c r="S47" s="18" t="n">
        <f aca="false">IF(S30=0,0,S46/S30)</f>
        <v>0.684459328149835</v>
      </c>
      <c r="T47" s="18" t="n">
        <f aca="false">IF(T30=0,0,T46/T30)</f>
        <v>0.684752354411126</v>
      </c>
      <c r="U47" s="18" t="n">
        <f aca="false">IF(U30=0,0,U46/U30)</f>
        <v>0.685036845926943</v>
      </c>
      <c r="V47" s="18" t="n">
        <f aca="false">IF(V30=0,0,V46/V30)</f>
        <v>0.68485270902306</v>
      </c>
      <c r="W47" s="18" t="n">
        <f aca="false">IF(W30=0,0,W46/W30)</f>
        <v>0.685134277589014</v>
      </c>
      <c r="X47" s="18" t="n">
        <f aca="false">IF(X30=0,0,X46/X30)</f>
        <v>0.685407645128775</v>
      </c>
      <c r="Y47" s="18" t="n">
        <f aca="false">IF(Y30=0,0,Y46/Y30)</f>
        <v>0.685230708210968</v>
      </c>
      <c r="Z47" s="18" t="n">
        <f aca="false">IF(Z30=0,0,Z46/Z30)</f>
        <v>0.685501267091838</v>
      </c>
      <c r="AA47" s="18" t="n">
        <f aca="false">IF(AA30=0,0,AA46/AA30)</f>
        <v>0.685763945616954</v>
      </c>
      <c r="AB47" s="18" t="n">
        <f aca="false">IF(AB30=0,0,AB46/AB30)</f>
        <v>0.685593927152911</v>
      </c>
      <c r="AC47" s="18" t="n">
        <f aca="false">IF(AC30=0,0,AC46/AC30)</f>
        <v>0.685853906841297</v>
      </c>
      <c r="AD47" s="18" t="n">
        <f aca="false">IF(AD30=0,0,AD46/AD30)</f>
        <v>0.686106314305749</v>
      </c>
      <c r="AE47" s="18" t="n">
        <f aca="false">IF(AE30=0,0,AE46/AE30)</f>
        <v>0.685942943779341</v>
      </c>
      <c r="AF47" s="18" t="n">
        <f aca="false">IF(AF30=0,0,AF46/AF30)</f>
        <v>0.686192757934918</v>
      </c>
      <c r="AG47" s="18" t="n">
        <f aca="false">IF(AG30=0,0,AG46/AG30)</f>
        <v>0.686435295950042</v>
      </c>
    </row>
    <row r="48" customFormat="false" ht="15" hidden="false" customHeight="true" outlineLevel="0" collapsed="false"/>
    <row r="49" customFormat="false" ht="15" hidden="false" customHeight="true" outlineLevel="0" collapsed="false">
      <c r="B49" s="13" t="s">
        <v>123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</row>
    <row r="50" customFormat="false" ht="15" hidden="false" customHeight="true" outlineLevel="0" collapsed="false">
      <c r="B50" s="3" t="s">
        <v>124</v>
      </c>
      <c r="C50" s="10" t="n">
        <f aca="false">-Assumptions!$C$11*(C10*Assumptions!$C$14+IF(C$4=0,0,D10*(1-Assumptions!$C$14)))</f>
        <v>-0</v>
      </c>
      <c r="D50" s="10" t="n">
        <f aca="false">-Assumptions!$C$11*(D10*Assumptions!$C$14+IF(D$4=0,0,E10*(1-Assumptions!$C$14)))</f>
        <v>-13000000</v>
      </c>
      <c r="E50" s="10" t="n">
        <f aca="false">-Assumptions!$C$11*(E10*Assumptions!$C$14+IF(E$4=0,0,F10*(1-Assumptions!$C$14)))</f>
        <v>-26000000</v>
      </c>
      <c r="F50" s="10" t="n">
        <f aca="false">-Assumptions!$C$11*(F10*Assumptions!$C$14+IF(F$4=0,0,G10*(1-Assumptions!$C$14)))</f>
        <v>-26000000</v>
      </c>
      <c r="G50" s="10" t="n">
        <f aca="false">-Assumptions!$C$11*(G10*Assumptions!$C$14+IF(G$4=0,0,H10*(1-Assumptions!$C$14)))</f>
        <v>-0</v>
      </c>
      <c r="H50" s="10" t="n">
        <f aca="false">-Assumptions!$C$11*(H10*Assumptions!$C$14+IF(H$4=0,0,I10*(1-Assumptions!$C$14)))</f>
        <v>-0</v>
      </c>
      <c r="I50" s="10" t="n">
        <f aca="false">-Assumptions!$C$11*(I10*Assumptions!$C$14+IF(I$4=0,0,J10*(1-Assumptions!$C$14)))</f>
        <v>-0</v>
      </c>
      <c r="J50" s="10" t="n">
        <f aca="false">-Assumptions!$C$11*(J10*Assumptions!$C$14+IF(J$4=0,0,K10*(1-Assumptions!$C$14)))</f>
        <v>-0</v>
      </c>
      <c r="K50" s="10" t="n">
        <f aca="false">-Assumptions!$C$11*(K10*Assumptions!$C$14+IF(K$4=0,0,L10*(1-Assumptions!$C$14)))</f>
        <v>-0</v>
      </c>
      <c r="L50" s="10" t="n">
        <f aca="false">-Assumptions!$C$11*(L10*Assumptions!$C$14+IF(L$4=0,0,M10*(1-Assumptions!$C$14)))</f>
        <v>-0</v>
      </c>
      <c r="M50" s="10" t="n">
        <f aca="false">-Assumptions!$C$11*(M10*Assumptions!$C$14+IF(M$4=0,0,N10*(1-Assumptions!$C$14)))</f>
        <v>-0</v>
      </c>
      <c r="N50" s="10" t="n">
        <f aca="false">-Assumptions!$C$11*(N10*Assumptions!$C$14+IF(N$4=0,0,O10*(1-Assumptions!$C$14)))</f>
        <v>-0</v>
      </c>
      <c r="O50" s="10" t="n">
        <f aca="false">-Assumptions!$C$11*(O10*Assumptions!$C$14+IF(O$4=0,0,P10*(1-Assumptions!$C$14)))</f>
        <v>-0</v>
      </c>
      <c r="P50" s="10" t="n">
        <f aca="false">-Assumptions!$C$11*(P10*Assumptions!$C$14+IF(P$4=0,0,Q10*(1-Assumptions!$C$14)))</f>
        <v>-0</v>
      </c>
      <c r="Q50" s="10" t="n">
        <f aca="false">-Assumptions!$C$11*(Q10*Assumptions!$C$14+IF(Q$4=0,0,R10*(1-Assumptions!$C$14)))</f>
        <v>-0</v>
      </c>
      <c r="R50" s="10" t="n">
        <f aca="false">-Assumptions!$C$11*(R10*Assumptions!$C$14+IF(R$4=0,0,S10*(1-Assumptions!$C$14)))</f>
        <v>-0</v>
      </c>
      <c r="S50" s="10" t="n">
        <f aca="false">-Assumptions!$C$11*(S10*Assumptions!$C$14+IF(S$4=0,0,T10*(1-Assumptions!$C$14)))</f>
        <v>-0</v>
      </c>
      <c r="T50" s="10" t="n">
        <f aca="false">-Assumptions!$C$11*(T10*Assumptions!$C$14+IF(T$4=0,0,U10*(1-Assumptions!$C$14)))</f>
        <v>-0</v>
      </c>
      <c r="U50" s="10" t="n">
        <f aca="false">-Assumptions!$C$11*(U10*Assumptions!$C$14+IF(U$4=0,0,V10*(1-Assumptions!$C$14)))</f>
        <v>-0</v>
      </c>
      <c r="V50" s="10" t="n">
        <f aca="false">-Assumptions!$C$11*(V10*Assumptions!$C$14+IF(V$4=0,0,W10*(1-Assumptions!$C$14)))</f>
        <v>-0</v>
      </c>
      <c r="W50" s="10" t="n">
        <f aca="false">-Assumptions!$C$11*(W10*Assumptions!$C$14+IF(W$4=0,0,X10*(1-Assumptions!$C$14)))</f>
        <v>-0</v>
      </c>
      <c r="X50" s="10" t="n">
        <f aca="false">-Assumptions!$C$11*(X10*Assumptions!$C$14+IF(X$4=0,0,Y10*(1-Assumptions!$C$14)))</f>
        <v>-0</v>
      </c>
      <c r="Y50" s="10" t="n">
        <f aca="false">-Assumptions!$C$11*(Y10*Assumptions!$C$14+IF(Y$4=0,0,Z10*(1-Assumptions!$C$14)))</f>
        <v>-0</v>
      </c>
      <c r="Z50" s="10" t="n">
        <f aca="false">-Assumptions!$C$11*(Z10*Assumptions!$C$14+IF(Z$4=0,0,AA10*(1-Assumptions!$C$14)))</f>
        <v>-0</v>
      </c>
      <c r="AA50" s="10" t="n">
        <f aca="false">-Assumptions!$C$11*(AA10*Assumptions!$C$14+IF(AA$4=0,0,AB10*(1-Assumptions!$C$14)))</f>
        <v>-0</v>
      </c>
      <c r="AB50" s="10" t="n">
        <f aca="false">-Assumptions!$C$11*(AB10*Assumptions!$C$14+IF(AB$4=0,0,AC10*(1-Assumptions!$C$14)))</f>
        <v>-0</v>
      </c>
      <c r="AC50" s="10" t="n">
        <f aca="false">-Assumptions!$C$11*(AC10*Assumptions!$C$14+IF(AC$4=0,0,AD10*(1-Assumptions!$C$14)))</f>
        <v>-0</v>
      </c>
      <c r="AD50" s="10" t="n">
        <f aca="false">-Assumptions!$C$11*(AD10*Assumptions!$C$14+IF(AD$4=0,0,AE10*(1-Assumptions!$C$14)))</f>
        <v>-0</v>
      </c>
      <c r="AE50" s="10" t="n">
        <f aca="false">-Assumptions!$C$11*(AE10*Assumptions!$C$14+IF(AE$4=0,0,AF10*(1-Assumptions!$C$14)))</f>
        <v>-0</v>
      </c>
      <c r="AF50" s="10" t="n">
        <f aca="false">-Assumptions!$C$11*(AF10*Assumptions!$C$14+IF(AF$4=0,0,AG10*(1-Assumptions!$C$14)))</f>
        <v>-0</v>
      </c>
      <c r="AG50" s="10" t="n">
        <f aca="false">-Assumptions!$C$11*(AG10*Assumptions!$C$14+IF(AG$4=0,0,AG10*(1-Assumptions!$C$14)))</f>
        <v>-0</v>
      </c>
    </row>
    <row r="51" customFormat="false" ht="15" hidden="false" customHeight="true" outlineLevel="0" collapsed="false">
      <c r="B51" s="3" t="s">
        <v>125</v>
      </c>
      <c r="C51" s="10" t="n">
        <f aca="false">-Assumptions!$C$8/30*C37</f>
        <v>-250000</v>
      </c>
      <c r="D51" s="10" t="n">
        <f aca="false">-Assumptions!$C$8/30*D37</f>
        <v>-1000000</v>
      </c>
      <c r="E51" s="10" t="n">
        <f aca="false">-Assumptions!$C$8/30*E37</f>
        <v>-1000000</v>
      </c>
      <c r="F51" s="10" t="n">
        <f aca="false">-Assumptions!$C$8/30*F37</f>
        <v>-1000000</v>
      </c>
      <c r="G51" s="10" t="n">
        <f aca="false">-Assumptions!$C$8/30*G37</f>
        <v>-1000000</v>
      </c>
      <c r="H51" s="10" t="n">
        <f aca="false">-Assumptions!$C$8/30*H37</f>
        <v>-1000000</v>
      </c>
      <c r="I51" s="10" t="n">
        <f aca="false">-Assumptions!$C$8/30*I37</f>
        <v>-1000000</v>
      </c>
      <c r="J51" s="10" t="n">
        <f aca="false">-Assumptions!$C$8/30*J37</f>
        <v>-1000000</v>
      </c>
      <c r="K51" s="10" t="n">
        <f aca="false">-Assumptions!$C$8/30*K37</f>
        <v>-1000000</v>
      </c>
      <c r="L51" s="10" t="n">
        <f aca="false">-Assumptions!$C$8/30*L37</f>
        <v>-1000000</v>
      </c>
      <c r="M51" s="10" t="n">
        <f aca="false">-Assumptions!$C$8/30*M37</f>
        <v>-1000000</v>
      </c>
      <c r="N51" s="10" t="n">
        <f aca="false">-Assumptions!$C$8/30*N37</f>
        <v>-1000000</v>
      </c>
      <c r="O51" s="10" t="n">
        <f aca="false">-Assumptions!$C$8/30*O37</f>
        <v>-1000000</v>
      </c>
      <c r="P51" s="10" t="n">
        <f aca="false">-Assumptions!$C$8/30*P37</f>
        <v>-1000000</v>
      </c>
      <c r="Q51" s="10" t="n">
        <f aca="false">-Assumptions!$C$8/30*Q37</f>
        <v>-1000000</v>
      </c>
      <c r="R51" s="10" t="n">
        <f aca="false">-Assumptions!$C$8/30*R37</f>
        <v>-1000000</v>
      </c>
      <c r="S51" s="10" t="n">
        <f aca="false">-Assumptions!$C$8/30*S37</f>
        <v>-1000000</v>
      </c>
      <c r="T51" s="10" t="n">
        <f aca="false">-Assumptions!$C$8/30*T37</f>
        <v>-1000000</v>
      </c>
      <c r="U51" s="10" t="n">
        <f aca="false">-Assumptions!$C$8/30*U37</f>
        <v>-1000000</v>
      </c>
      <c r="V51" s="10" t="n">
        <f aca="false">-Assumptions!$C$8/30*V37</f>
        <v>-1000000</v>
      </c>
      <c r="W51" s="10" t="n">
        <f aca="false">-Assumptions!$C$8/30*W37</f>
        <v>-1000000</v>
      </c>
      <c r="X51" s="10" t="n">
        <f aca="false">-Assumptions!$C$8/30*X37</f>
        <v>-1000000</v>
      </c>
      <c r="Y51" s="10" t="n">
        <f aca="false">-Assumptions!$C$8/30*Y37</f>
        <v>-1000000</v>
      </c>
      <c r="Z51" s="10" t="n">
        <f aca="false">-Assumptions!$C$8/30*Z37</f>
        <v>-1000000</v>
      </c>
      <c r="AA51" s="10" t="n">
        <f aca="false">-Assumptions!$C$8/30*AA37</f>
        <v>-1000000</v>
      </c>
      <c r="AB51" s="10" t="n">
        <f aca="false">-Assumptions!$C$8/30*AB37</f>
        <v>-1000000</v>
      </c>
      <c r="AC51" s="10" t="n">
        <f aca="false">-Assumptions!$C$8/30*AC37</f>
        <v>-1000000</v>
      </c>
      <c r="AD51" s="10" t="n">
        <f aca="false">-Assumptions!$C$8/30*AD37</f>
        <v>-1000000</v>
      </c>
      <c r="AE51" s="10" t="n">
        <f aca="false">-Assumptions!$C$8/30*AE37</f>
        <v>-1000000</v>
      </c>
      <c r="AF51" s="10" t="n">
        <f aca="false">-Assumptions!$C$8/30*AF37</f>
        <v>-1000000</v>
      </c>
      <c r="AG51" s="10" t="n">
        <f aca="false">-Assumptions!$C$8/30*AG37</f>
        <v>-1000000</v>
      </c>
    </row>
    <row r="52" customFormat="false" ht="15" hidden="false" customHeight="true" outlineLevel="0" collapsed="false">
      <c r="B52" s="3" t="s">
        <v>126</v>
      </c>
      <c r="C52" s="10" t="n">
        <f aca="false">SUMPRODUCT($C$50:$AF$50*($C$4:$AF$4&lt;C$4)/(30-$C$4:$AF$4))</f>
        <v>0</v>
      </c>
      <c r="D52" s="10" t="n">
        <f aca="false">SUMPRODUCT($C$50:$AF$50*($C$4:$AF$4&lt;D$4)/(30-$C$4:$AF$4))</f>
        <v>0</v>
      </c>
      <c r="E52" s="10" t="n">
        <f aca="false">SUMPRODUCT($C$50:$AF$50*($C$4:$AF$4&lt;E$4)/(30-$C$4:$AF$4))</f>
        <v>-448275.862068966</v>
      </c>
      <c r="F52" s="10" t="n">
        <f aca="false">SUMPRODUCT($C$50:$AF$50*($C$4:$AF$4&lt;F$4)/(30-$C$4:$AF$4))</f>
        <v>-1376847.29064039</v>
      </c>
      <c r="G52" s="10" t="n">
        <f aca="false">SUMPRODUCT($C$50:$AF$50*($C$4:$AF$4&lt;G$4)/(30-$C$4:$AF$4))</f>
        <v>-2339810.25360336</v>
      </c>
      <c r="H52" s="10" t="n">
        <f aca="false">SUMPRODUCT($C$50:$AF$50*($C$4:$AF$4&lt;H$4)/(30-$C$4:$AF$4))</f>
        <v>-2339810.25360336</v>
      </c>
      <c r="I52" s="10" t="n">
        <f aca="false">SUMPRODUCT($C$50:$AF$50*($C$4:$AF$4&lt;I$4)/(30-$C$4:$AF$4))</f>
        <v>-2339810.25360336</v>
      </c>
      <c r="J52" s="10" t="n">
        <f aca="false">SUMPRODUCT($C$50:$AF$50*($C$4:$AF$4&lt;J$4)/(30-$C$4:$AF$4))</f>
        <v>-2339810.25360336</v>
      </c>
      <c r="K52" s="10" t="n">
        <f aca="false">SUMPRODUCT($C$50:$AF$50*($C$4:$AF$4&lt;K$4)/(30-$C$4:$AF$4))</f>
        <v>-2339810.25360336</v>
      </c>
      <c r="L52" s="10" t="n">
        <f aca="false">SUMPRODUCT($C$50:$AF$50*($C$4:$AF$4&lt;L$4)/(30-$C$4:$AF$4))</f>
        <v>-2339810.25360336</v>
      </c>
      <c r="M52" s="10" t="n">
        <f aca="false">SUMPRODUCT($C$50:$AF$50*($C$4:$AF$4&lt;M$4)/(30-$C$4:$AF$4))</f>
        <v>-2339810.25360336</v>
      </c>
      <c r="N52" s="10" t="n">
        <f aca="false">SUMPRODUCT($C$50:$AF$50*($C$4:$AF$4&lt;N$4)/(30-$C$4:$AF$4))</f>
        <v>-2339810.25360336</v>
      </c>
      <c r="O52" s="10" t="n">
        <f aca="false">SUMPRODUCT($C$50:$AF$50*($C$4:$AF$4&lt;O$4)/(30-$C$4:$AF$4))</f>
        <v>-2339810.25360336</v>
      </c>
      <c r="P52" s="10" t="n">
        <f aca="false">SUMPRODUCT($C$50:$AF$50*($C$4:$AF$4&lt;P$4)/(30-$C$4:$AF$4))</f>
        <v>-2339810.25360336</v>
      </c>
      <c r="Q52" s="10" t="n">
        <f aca="false">SUMPRODUCT($C$50:$AF$50*($C$4:$AF$4&lt;Q$4)/(30-$C$4:$AF$4))</f>
        <v>-2339810.25360336</v>
      </c>
      <c r="R52" s="10" t="n">
        <f aca="false">SUMPRODUCT($C$50:$AF$50*($C$4:$AF$4&lt;R$4)/(30-$C$4:$AF$4))</f>
        <v>-2339810.25360336</v>
      </c>
      <c r="S52" s="10" t="n">
        <f aca="false">SUMPRODUCT($C$50:$AF$50*($C$4:$AF$4&lt;S$4)/(30-$C$4:$AF$4))</f>
        <v>-2339810.25360336</v>
      </c>
      <c r="T52" s="10" t="n">
        <f aca="false">SUMPRODUCT($C$50:$AF$50*($C$4:$AF$4&lt;T$4)/(30-$C$4:$AF$4))</f>
        <v>-2339810.25360336</v>
      </c>
      <c r="U52" s="10" t="n">
        <f aca="false">SUMPRODUCT($C$50:$AF$50*($C$4:$AF$4&lt;U$4)/(30-$C$4:$AF$4))</f>
        <v>-2339810.25360336</v>
      </c>
      <c r="V52" s="10" t="n">
        <f aca="false">SUMPRODUCT($C$50:$AF$50*($C$4:$AF$4&lt;V$4)/(30-$C$4:$AF$4))</f>
        <v>-2339810.25360336</v>
      </c>
      <c r="W52" s="10" t="n">
        <f aca="false">SUMPRODUCT($C$50:$AF$50*($C$4:$AF$4&lt;W$4)/(30-$C$4:$AF$4))</f>
        <v>-2339810.25360336</v>
      </c>
      <c r="X52" s="10" t="n">
        <f aca="false">SUMPRODUCT($C$50:$AF$50*($C$4:$AF$4&lt;X$4)/(30-$C$4:$AF$4))</f>
        <v>-2339810.25360336</v>
      </c>
      <c r="Y52" s="10" t="n">
        <f aca="false">SUMPRODUCT($C$50:$AF$50*($C$4:$AF$4&lt;Y$4)/(30-$C$4:$AF$4))</f>
        <v>-2339810.25360336</v>
      </c>
      <c r="Z52" s="10" t="n">
        <f aca="false">SUMPRODUCT($C$50:$AF$50*($C$4:$AF$4&lt;Z$4)/(30-$C$4:$AF$4))</f>
        <v>-2339810.25360336</v>
      </c>
      <c r="AA52" s="10" t="n">
        <f aca="false">SUMPRODUCT($C$50:$AF$50*($C$4:$AF$4&lt;AA$4)/(30-$C$4:$AF$4))</f>
        <v>-2339810.25360336</v>
      </c>
      <c r="AB52" s="10" t="n">
        <f aca="false">SUMPRODUCT($C$50:$AF$50*($C$4:$AF$4&lt;AB$4)/(30-$C$4:$AF$4))</f>
        <v>-2339810.25360336</v>
      </c>
      <c r="AC52" s="10" t="n">
        <f aca="false">SUMPRODUCT($C$50:$AF$50*($C$4:$AF$4&lt;AC$4)/(30-$C$4:$AF$4))</f>
        <v>-2339810.25360336</v>
      </c>
      <c r="AD52" s="10" t="n">
        <f aca="false">SUMPRODUCT($C$50:$AF$50*($C$4:$AF$4&lt;AD$4)/(30-$C$4:$AF$4))</f>
        <v>-2339810.25360336</v>
      </c>
      <c r="AE52" s="10" t="n">
        <f aca="false">SUMPRODUCT($C$50:$AF$50*($C$4:$AF$4&lt;AE$4)/(30-$C$4:$AF$4))</f>
        <v>-2339810.25360336</v>
      </c>
      <c r="AF52" s="10" t="n">
        <f aca="false">SUMPRODUCT($C$50:$AF$50*($C$4:$AF$4&lt;AF$4)/(30-$C$4:$AF$4))</f>
        <v>-2339810.25360336</v>
      </c>
      <c r="AG52" s="10" t="n">
        <f aca="false">SUMPRODUCT($C$50:$AF$50*($C$4:$AF$4&lt;AG$4)/(30-$C$4:$AF$4))</f>
        <v>-2339810.25360336</v>
      </c>
    </row>
    <row r="53" customFormat="false" ht="15" hidden="false" customHeight="true" outlineLevel="0" collapsed="false">
      <c r="B53" s="8" t="s">
        <v>127</v>
      </c>
      <c r="C53" s="19" t="n">
        <f aca="false">C51+C52</f>
        <v>-250000</v>
      </c>
      <c r="D53" s="19" t="n">
        <f aca="false">D51+D52</f>
        <v>-1000000</v>
      </c>
      <c r="E53" s="19" t="n">
        <f aca="false">E51+E52</f>
        <v>-1448275.86206897</v>
      </c>
      <c r="F53" s="19" t="n">
        <f aca="false">F51+F52</f>
        <v>-2376847.29064039</v>
      </c>
      <c r="G53" s="19" t="n">
        <f aca="false">G51+G52</f>
        <v>-3339810.25360336</v>
      </c>
      <c r="H53" s="19" t="n">
        <f aca="false">H51+H52</f>
        <v>-3339810.25360336</v>
      </c>
      <c r="I53" s="19" t="n">
        <f aca="false">I51+I52</f>
        <v>-3339810.25360336</v>
      </c>
      <c r="J53" s="19" t="n">
        <f aca="false">J51+J52</f>
        <v>-3339810.25360336</v>
      </c>
      <c r="K53" s="19" t="n">
        <f aca="false">K51+K52</f>
        <v>-3339810.25360336</v>
      </c>
      <c r="L53" s="19" t="n">
        <f aca="false">L51+L52</f>
        <v>-3339810.25360336</v>
      </c>
      <c r="M53" s="19" t="n">
        <f aca="false">M51+M52</f>
        <v>-3339810.25360336</v>
      </c>
      <c r="N53" s="19" t="n">
        <f aca="false">N51+N52</f>
        <v>-3339810.25360336</v>
      </c>
      <c r="O53" s="19" t="n">
        <f aca="false">O51+O52</f>
        <v>-3339810.25360336</v>
      </c>
      <c r="P53" s="19" t="n">
        <f aca="false">P51+P52</f>
        <v>-3339810.25360336</v>
      </c>
      <c r="Q53" s="19" t="n">
        <f aca="false">Q51+Q52</f>
        <v>-3339810.25360336</v>
      </c>
      <c r="R53" s="19" t="n">
        <f aca="false">R51+R52</f>
        <v>-3339810.25360336</v>
      </c>
      <c r="S53" s="19" t="n">
        <f aca="false">S51+S52</f>
        <v>-3339810.25360336</v>
      </c>
      <c r="T53" s="19" t="n">
        <f aca="false">T51+T52</f>
        <v>-3339810.25360336</v>
      </c>
      <c r="U53" s="19" t="n">
        <f aca="false">U51+U52</f>
        <v>-3339810.25360336</v>
      </c>
      <c r="V53" s="19" t="n">
        <f aca="false">V51+V52</f>
        <v>-3339810.25360336</v>
      </c>
      <c r="W53" s="19" t="n">
        <f aca="false">W51+W52</f>
        <v>-3339810.25360336</v>
      </c>
      <c r="X53" s="19" t="n">
        <f aca="false">X51+X52</f>
        <v>-3339810.25360336</v>
      </c>
      <c r="Y53" s="19" t="n">
        <f aca="false">Y51+Y52</f>
        <v>-3339810.25360336</v>
      </c>
      <c r="Z53" s="19" t="n">
        <f aca="false">Z51+Z52</f>
        <v>-3339810.25360336</v>
      </c>
      <c r="AA53" s="19" t="n">
        <f aca="false">AA51+AA52</f>
        <v>-3339810.25360336</v>
      </c>
      <c r="AB53" s="19" t="n">
        <f aca="false">AB51+AB52</f>
        <v>-3339810.25360336</v>
      </c>
      <c r="AC53" s="19" t="n">
        <f aca="false">AC51+AC52</f>
        <v>-3339810.25360336</v>
      </c>
      <c r="AD53" s="19" t="n">
        <f aca="false">AD51+AD52</f>
        <v>-3339810.25360336</v>
      </c>
      <c r="AE53" s="19" t="n">
        <f aca="false">AE51+AE52</f>
        <v>-3339810.25360336</v>
      </c>
      <c r="AF53" s="19" t="n">
        <f aca="false">AF51+AF52</f>
        <v>-3339810.25360336</v>
      </c>
      <c r="AG53" s="19" t="n">
        <f aca="false">AG51+AG52</f>
        <v>-3339810.25360336</v>
      </c>
    </row>
    <row r="54" customFormat="false" ht="15" hidden="false" customHeight="true" outlineLevel="0" collapsed="false"/>
    <row r="55" customFormat="false" ht="15" hidden="false" customHeight="true" outlineLevel="0" collapsed="false">
      <c r="B55" s="13" t="s">
        <v>128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</row>
    <row r="56" customFormat="false" ht="15" hidden="false" customHeight="true" outlineLevel="0" collapsed="false">
      <c r="B56" s="3" t="s">
        <v>129</v>
      </c>
      <c r="C56" s="10" t="n">
        <f aca="false">IF(OR(C$4&lt;Assumptions!$C$15,SUMPRODUCT(($C$4:$AG$4&gt;=Assumptions!$C$15)*$C$50:$AG$50)=0),0,Assumptions!$C$12*C50/SUMPRODUCT(($C$4:$AG$4&gt;=Assumptions!$C$15)*$C$50:$AG$50))</f>
        <v>0</v>
      </c>
      <c r="D56" s="10" t="n">
        <f aca="false">IF(OR(D$4&lt;Assumptions!$C$15,SUMPRODUCT(($C$4:$AG$4&gt;=Assumptions!$C$15)*$C$50:$AG$50)=0),0,Assumptions!$C$12*D50/SUMPRODUCT(($C$4:$AG$4&gt;=Assumptions!$C$15)*$C$50:$AG$50))</f>
        <v>0</v>
      </c>
      <c r="E56" s="10" t="n">
        <f aca="false">IF(OR(E$4&lt;Assumptions!$C$15,SUMPRODUCT(($C$4:$AG$4&gt;=Assumptions!$C$15)*$C$50:$AG$50)=0),0,Assumptions!$C$12*E50/SUMPRODUCT(($C$4:$AG$4&gt;=Assumptions!$C$15)*$C$50:$AG$50))</f>
        <v>12500000</v>
      </c>
      <c r="F56" s="10" t="n">
        <f aca="false">IF(OR(F$4&lt;Assumptions!$C$15,SUMPRODUCT(($C$4:$AG$4&gt;=Assumptions!$C$15)*$C$50:$AG$50)=0),0,Assumptions!$C$12*F50/SUMPRODUCT(($C$4:$AG$4&gt;=Assumptions!$C$15)*$C$50:$AG$50))</f>
        <v>12500000</v>
      </c>
      <c r="G56" s="10" t="n">
        <f aca="false">IF(OR(G$4&lt;Assumptions!$C$15,SUMPRODUCT(($C$4:$AG$4&gt;=Assumptions!$C$15)*$C$50:$AG$50)=0),0,Assumptions!$C$12*G50/SUMPRODUCT(($C$4:$AG$4&gt;=Assumptions!$C$15)*$C$50:$AG$50))</f>
        <v>0</v>
      </c>
      <c r="H56" s="10" t="n">
        <f aca="false">IF(OR(H$4&lt;Assumptions!$C$15,SUMPRODUCT(($C$4:$AG$4&gt;=Assumptions!$C$15)*$C$50:$AG$50)=0),0,Assumptions!$C$12*H50/SUMPRODUCT(($C$4:$AG$4&gt;=Assumptions!$C$15)*$C$50:$AG$50))</f>
        <v>0</v>
      </c>
      <c r="I56" s="10" t="n">
        <f aca="false">IF(OR(I$4&lt;Assumptions!$C$15,SUMPRODUCT(($C$4:$AG$4&gt;=Assumptions!$C$15)*$C$50:$AG$50)=0),0,Assumptions!$C$12*I50/SUMPRODUCT(($C$4:$AG$4&gt;=Assumptions!$C$15)*$C$50:$AG$50))</f>
        <v>0</v>
      </c>
      <c r="J56" s="10" t="n">
        <f aca="false">IF(OR(J$4&lt;Assumptions!$C$15,SUMPRODUCT(($C$4:$AG$4&gt;=Assumptions!$C$15)*$C$50:$AG$50)=0),0,Assumptions!$C$12*J50/SUMPRODUCT(($C$4:$AG$4&gt;=Assumptions!$C$15)*$C$50:$AG$50))</f>
        <v>0</v>
      </c>
      <c r="K56" s="10" t="n">
        <f aca="false">IF(OR(K$4&lt;Assumptions!$C$15,SUMPRODUCT(($C$4:$AG$4&gt;=Assumptions!$C$15)*$C$50:$AG$50)=0),0,Assumptions!$C$12*K50/SUMPRODUCT(($C$4:$AG$4&gt;=Assumptions!$C$15)*$C$50:$AG$50))</f>
        <v>0</v>
      </c>
      <c r="L56" s="10" t="n">
        <f aca="false">IF(OR(L$4&lt;Assumptions!$C$15,SUMPRODUCT(($C$4:$AG$4&gt;=Assumptions!$C$15)*$C$50:$AG$50)=0),0,Assumptions!$C$12*L50/SUMPRODUCT(($C$4:$AG$4&gt;=Assumptions!$C$15)*$C$50:$AG$50))</f>
        <v>0</v>
      </c>
      <c r="M56" s="10" t="n">
        <f aca="false">IF(OR(M$4&lt;Assumptions!$C$15,SUMPRODUCT(($C$4:$AG$4&gt;=Assumptions!$C$15)*$C$50:$AG$50)=0),0,Assumptions!$C$12*M50/SUMPRODUCT(($C$4:$AG$4&gt;=Assumptions!$C$15)*$C$50:$AG$50))</f>
        <v>0</v>
      </c>
      <c r="N56" s="10" t="n">
        <f aca="false">IF(OR(N$4&lt;Assumptions!$C$15,SUMPRODUCT(($C$4:$AG$4&gt;=Assumptions!$C$15)*$C$50:$AG$50)=0),0,Assumptions!$C$12*N50/SUMPRODUCT(($C$4:$AG$4&gt;=Assumptions!$C$15)*$C$50:$AG$50))</f>
        <v>0</v>
      </c>
      <c r="O56" s="10" t="n">
        <f aca="false">IF(OR(O$4&lt;Assumptions!$C$15,SUMPRODUCT(($C$4:$AG$4&gt;=Assumptions!$C$15)*$C$50:$AG$50)=0),0,Assumptions!$C$12*O50/SUMPRODUCT(($C$4:$AG$4&gt;=Assumptions!$C$15)*$C$50:$AG$50))</f>
        <v>0</v>
      </c>
      <c r="P56" s="10" t="n">
        <f aca="false">IF(OR(P$4&lt;Assumptions!$C$15,SUMPRODUCT(($C$4:$AG$4&gt;=Assumptions!$C$15)*$C$50:$AG$50)=0),0,Assumptions!$C$12*P50/SUMPRODUCT(($C$4:$AG$4&gt;=Assumptions!$C$15)*$C$50:$AG$50))</f>
        <v>0</v>
      </c>
      <c r="Q56" s="10" t="n">
        <f aca="false">IF(OR(Q$4&lt;Assumptions!$C$15,SUMPRODUCT(($C$4:$AG$4&gt;=Assumptions!$C$15)*$C$50:$AG$50)=0),0,Assumptions!$C$12*Q50/SUMPRODUCT(($C$4:$AG$4&gt;=Assumptions!$C$15)*$C$50:$AG$50))</f>
        <v>0</v>
      </c>
      <c r="R56" s="10" t="n">
        <f aca="false">IF(OR(R$4&lt;Assumptions!$C$15,SUMPRODUCT(($C$4:$AG$4&gt;=Assumptions!$C$15)*$C$50:$AG$50)=0),0,Assumptions!$C$12*R50/SUMPRODUCT(($C$4:$AG$4&gt;=Assumptions!$C$15)*$C$50:$AG$50))</f>
        <v>0</v>
      </c>
      <c r="S56" s="10" t="n">
        <f aca="false">IF(OR(S$4&lt;Assumptions!$C$15,SUMPRODUCT(($C$4:$AG$4&gt;=Assumptions!$C$15)*$C$50:$AG$50)=0),0,Assumptions!$C$12*S50/SUMPRODUCT(($C$4:$AG$4&gt;=Assumptions!$C$15)*$C$50:$AG$50))</f>
        <v>0</v>
      </c>
      <c r="T56" s="10" t="n">
        <f aca="false">IF(OR(T$4&lt;Assumptions!$C$15,SUMPRODUCT(($C$4:$AG$4&gt;=Assumptions!$C$15)*$C$50:$AG$50)=0),0,Assumptions!$C$12*T50/SUMPRODUCT(($C$4:$AG$4&gt;=Assumptions!$C$15)*$C$50:$AG$50))</f>
        <v>0</v>
      </c>
      <c r="U56" s="10" t="n">
        <f aca="false">IF(OR(U$4&lt;Assumptions!$C$15,SUMPRODUCT(($C$4:$AG$4&gt;=Assumptions!$C$15)*$C$50:$AG$50)=0),0,Assumptions!$C$12*U50/SUMPRODUCT(($C$4:$AG$4&gt;=Assumptions!$C$15)*$C$50:$AG$50))</f>
        <v>0</v>
      </c>
      <c r="V56" s="10" t="n">
        <f aca="false">IF(OR(V$4&lt;Assumptions!$C$15,SUMPRODUCT(($C$4:$AG$4&gt;=Assumptions!$C$15)*$C$50:$AG$50)=0),0,Assumptions!$C$12*V50/SUMPRODUCT(($C$4:$AG$4&gt;=Assumptions!$C$15)*$C$50:$AG$50))</f>
        <v>0</v>
      </c>
      <c r="W56" s="10" t="n">
        <f aca="false">IF(OR(W$4&lt;Assumptions!$C$15,SUMPRODUCT(($C$4:$AG$4&gt;=Assumptions!$C$15)*$C$50:$AG$50)=0),0,Assumptions!$C$12*W50/SUMPRODUCT(($C$4:$AG$4&gt;=Assumptions!$C$15)*$C$50:$AG$50))</f>
        <v>0</v>
      </c>
      <c r="X56" s="10" t="n">
        <f aca="false">IF(OR(X$4&lt;Assumptions!$C$15,SUMPRODUCT(($C$4:$AG$4&gt;=Assumptions!$C$15)*$C$50:$AG$50)=0),0,Assumptions!$C$12*X50/SUMPRODUCT(($C$4:$AG$4&gt;=Assumptions!$C$15)*$C$50:$AG$50))</f>
        <v>0</v>
      </c>
      <c r="Y56" s="10" t="n">
        <f aca="false">IF(OR(Y$4&lt;Assumptions!$C$15,SUMPRODUCT(($C$4:$AG$4&gt;=Assumptions!$C$15)*$C$50:$AG$50)=0),0,Assumptions!$C$12*Y50/SUMPRODUCT(($C$4:$AG$4&gt;=Assumptions!$C$15)*$C$50:$AG$50))</f>
        <v>0</v>
      </c>
      <c r="Z56" s="10" t="n">
        <f aca="false">IF(OR(Z$4&lt;Assumptions!$C$15,SUMPRODUCT(($C$4:$AG$4&gt;=Assumptions!$C$15)*$C$50:$AG$50)=0),0,Assumptions!$C$12*Z50/SUMPRODUCT(($C$4:$AG$4&gt;=Assumptions!$C$15)*$C$50:$AG$50))</f>
        <v>0</v>
      </c>
      <c r="AA56" s="10" t="n">
        <f aca="false">IF(OR(AA$4&lt;Assumptions!$C$15,SUMPRODUCT(($C$4:$AG$4&gt;=Assumptions!$C$15)*$C$50:$AG$50)=0),0,Assumptions!$C$12*AA50/SUMPRODUCT(($C$4:$AG$4&gt;=Assumptions!$C$15)*$C$50:$AG$50))</f>
        <v>0</v>
      </c>
      <c r="AB56" s="10" t="n">
        <f aca="false">IF(OR(AB$4&lt;Assumptions!$C$15,SUMPRODUCT(($C$4:$AG$4&gt;=Assumptions!$C$15)*$C$50:$AG$50)=0),0,Assumptions!$C$12*AB50/SUMPRODUCT(($C$4:$AG$4&gt;=Assumptions!$C$15)*$C$50:$AG$50))</f>
        <v>0</v>
      </c>
      <c r="AC56" s="10" t="n">
        <f aca="false">IF(OR(AC$4&lt;Assumptions!$C$15,SUMPRODUCT(($C$4:$AG$4&gt;=Assumptions!$C$15)*$C$50:$AG$50)=0),0,Assumptions!$C$12*AC50/SUMPRODUCT(($C$4:$AG$4&gt;=Assumptions!$C$15)*$C$50:$AG$50))</f>
        <v>0</v>
      </c>
      <c r="AD56" s="10" t="n">
        <f aca="false">IF(OR(AD$4&lt;Assumptions!$C$15,SUMPRODUCT(($C$4:$AG$4&gt;=Assumptions!$C$15)*$C$50:$AG$50)=0),0,Assumptions!$C$12*AD50/SUMPRODUCT(($C$4:$AG$4&gt;=Assumptions!$C$15)*$C$50:$AG$50))</f>
        <v>0</v>
      </c>
      <c r="AE56" s="10" t="n">
        <f aca="false">IF(OR(AE$4&lt;Assumptions!$C$15,SUMPRODUCT(($C$4:$AG$4&gt;=Assumptions!$C$15)*$C$50:$AG$50)=0),0,Assumptions!$C$12*AE50/SUMPRODUCT(($C$4:$AG$4&gt;=Assumptions!$C$15)*$C$50:$AG$50))</f>
        <v>0</v>
      </c>
      <c r="AF56" s="10" t="n">
        <f aca="false">IF(OR(AF$4&lt;Assumptions!$C$15,SUMPRODUCT(($C$4:$AG$4&gt;=Assumptions!$C$15)*$C$50:$AG$50)=0),0,Assumptions!$C$12*AF50/SUMPRODUCT(($C$4:$AG$4&gt;=Assumptions!$C$15)*$C$50:$AG$50))</f>
        <v>0</v>
      </c>
      <c r="AG56" s="10" t="n">
        <f aca="false">IF(OR(AG$4&lt;Assumptions!$C$15,SUMPRODUCT(($C$4:$AG$4&gt;=Assumptions!$C$15)*$C$50:$AG$50)=0),0,Assumptions!$C$12*AG50/SUMPRODUCT(($C$4:$AG$4&gt;=Assumptions!$C$15)*$C$50:$AG$50))</f>
        <v>0</v>
      </c>
    </row>
    <row r="57" customFormat="false" ht="15" hidden="false" customHeight="true" outlineLevel="0" collapsed="false">
      <c r="B57" s="3" t="s">
        <v>130</v>
      </c>
      <c r="C57" s="10" t="n">
        <f aca="false">0</f>
        <v>0</v>
      </c>
      <c r="D57" s="10" t="n">
        <f aca="false">C60</f>
        <v>0</v>
      </c>
      <c r="E57" s="10" t="n">
        <f aca="false">D60</f>
        <v>0</v>
      </c>
      <c r="F57" s="10" t="n">
        <f aca="false">E60</f>
        <v>12500000</v>
      </c>
      <c r="G57" s="10" t="n">
        <f aca="false">F60</f>
        <v>25000000</v>
      </c>
      <c r="H57" s="10" t="n">
        <f aca="false">G60</f>
        <v>23274262.7825731</v>
      </c>
      <c r="I57" s="10" t="n">
        <f aca="false">H60</f>
        <v>21410466.5877521</v>
      </c>
      <c r="J57" s="10" t="n">
        <f aca="false">I60</f>
        <v>19397566.6973454</v>
      </c>
      <c r="K57" s="10" t="n">
        <f aca="false">J60</f>
        <v>17223634.8157061</v>
      </c>
      <c r="L57" s="10" t="n">
        <f aca="false">K60</f>
        <v>14875788.3835357</v>
      </c>
      <c r="M57" s="10" t="n">
        <f aca="false">L60</f>
        <v>12340114.2367917</v>
      </c>
      <c r="N57" s="10" t="n">
        <f aca="false">M60</f>
        <v>9601586.15830812</v>
      </c>
      <c r="O57" s="10" t="n">
        <f aca="false">N60</f>
        <v>6643975.83354589</v>
      </c>
      <c r="P57" s="10" t="n">
        <f aca="false">O60</f>
        <v>3449756.68280267</v>
      </c>
      <c r="Q57" s="10" t="n">
        <f aca="false">P60</f>
        <v>0</v>
      </c>
      <c r="R57" s="10" t="n">
        <f aca="false">Q60</f>
        <v>0</v>
      </c>
      <c r="S57" s="10" t="n">
        <f aca="false">R60</f>
        <v>0</v>
      </c>
      <c r="T57" s="10" t="n">
        <f aca="false">S60</f>
        <v>0</v>
      </c>
      <c r="U57" s="10" t="n">
        <f aca="false">T60</f>
        <v>0</v>
      </c>
      <c r="V57" s="10" t="n">
        <f aca="false">U60</f>
        <v>0</v>
      </c>
      <c r="W57" s="10" t="n">
        <f aca="false">V60</f>
        <v>0</v>
      </c>
      <c r="X57" s="10" t="n">
        <f aca="false">W60</f>
        <v>0</v>
      </c>
      <c r="Y57" s="10" t="n">
        <f aca="false">X60</f>
        <v>0</v>
      </c>
      <c r="Z57" s="10" t="n">
        <f aca="false">Y60</f>
        <v>0</v>
      </c>
      <c r="AA57" s="10" t="n">
        <f aca="false">Z60</f>
        <v>0</v>
      </c>
      <c r="AB57" s="10" t="n">
        <f aca="false">AA60</f>
        <v>0</v>
      </c>
      <c r="AC57" s="10" t="n">
        <f aca="false">AB60</f>
        <v>0</v>
      </c>
      <c r="AD57" s="10" t="n">
        <f aca="false">AC60</f>
        <v>0</v>
      </c>
      <c r="AE57" s="10" t="n">
        <f aca="false">AD60</f>
        <v>0</v>
      </c>
      <c r="AF57" s="10" t="n">
        <f aca="false">AE60</f>
        <v>0</v>
      </c>
      <c r="AG57" s="10" t="n">
        <f aca="false">AF60</f>
        <v>0</v>
      </c>
    </row>
    <row r="58" customFormat="false" ht="15" hidden="false" customHeight="true" outlineLevel="0" collapsed="false">
      <c r="B58" s="3" t="s">
        <v>131</v>
      </c>
      <c r="C58" s="10" t="n">
        <f aca="false">IF(AND(C$4&gt;=Assumptions!$C$13,C$4&lt;Assumptions!$C$13+Assumptions!$C$20),PPMT(Assumptions!$C$18,C$4-Assumptions!$C$13+1,Assumptions!$C$20,SUM($C$56:$AG$56)),0)</f>
        <v>0</v>
      </c>
      <c r="D58" s="10" t="n">
        <f aca="false">IF(AND(D$4&gt;=Assumptions!$C$13,D$4&lt;Assumptions!$C$13+Assumptions!$C$20),PPMT(Assumptions!$C$18,D$4-Assumptions!$C$13+1,Assumptions!$C$20,SUM($C$56:$AG$56)),0)</f>
        <v>0</v>
      </c>
      <c r="E58" s="10" t="n">
        <f aca="false">IF(AND(E$4&gt;=Assumptions!$C$13,E$4&lt;Assumptions!$C$13+Assumptions!$C$20),PPMT(Assumptions!$C$18,E$4-Assumptions!$C$13+1,Assumptions!$C$20,SUM($C$56:$AG$56)),0)</f>
        <v>0</v>
      </c>
      <c r="F58" s="10" t="n">
        <f aca="false">IF(AND(F$4&gt;=Assumptions!$C$13,F$4&lt;Assumptions!$C$13+Assumptions!$C$20),PPMT(Assumptions!$C$18,F$4-Assumptions!$C$13+1,Assumptions!$C$20,SUM($C$56:$AG$56)),0)</f>
        <v>0</v>
      </c>
      <c r="G58" s="10" t="n">
        <f aca="false">IF(AND(G$4&gt;=Assumptions!$C$13,G$4&lt;Assumptions!$C$13+Assumptions!$C$20),PPMT(Assumptions!$C$18,G$4-Assumptions!$C$13+1,Assumptions!$C$20,SUM($C$56:$AG$56)),0)</f>
        <v>-1725737.21742689</v>
      </c>
      <c r="H58" s="10" t="n">
        <f aca="false">IF(AND(H$4&gt;=Assumptions!$C$13,H$4&lt;Assumptions!$C$13+Assumptions!$C$20),PPMT(Assumptions!$C$18,H$4-Assumptions!$C$13+1,Assumptions!$C$20,SUM($C$56:$AG$56)),0)</f>
        <v>-1863796.19482104</v>
      </c>
      <c r="I58" s="10" t="n">
        <f aca="false">IF(AND(I$4&gt;=Assumptions!$C$13,I$4&lt;Assumptions!$C$13+Assumptions!$C$20),PPMT(Assumptions!$C$18,I$4-Assumptions!$C$13+1,Assumptions!$C$20,SUM($C$56:$AG$56)),0)</f>
        <v>-2012899.89040672</v>
      </c>
      <c r="J58" s="10" t="n">
        <f aca="false">IF(AND(J$4&gt;=Assumptions!$C$13,J$4&lt;Assumptions!$C$13+Assumptions!$C$20),PPMT(Assumptions!$C$18,J$4-Assumptions!$C$13+1,Assumptions!$C$20,SUM($C$56:$AG$56)),0)</f>
        <v>-2173931.88163926</v>
      </c>
      <c r="K58" s="10" t="n">
        <f aca="false">IF(AND(K$4&gt;=Assumptions!$C$13,K$4&lt;Assumptions!$C$13+Assumptions!$C$20),PPMT(Assumptions!$C$18,K$4-Assumptions!$C$13+1,Assumptions!$C$20,SUM($C$56:$AG$56)),0)</f>
        <v>-2347846.4321704</v>
      </c>
      <c r="L58" s="10" t="n">
        <f aca="false">IF(AND(L$4&gt;=Assumptions!$C$13,L$4&lt;Assumptions!$C$13+Assumptions!$C$20),PPMT(Assumptions!$C$18,L$4-Assumptions!$C$13+1,Assumptions!$C$20,SUM($C$56:$AG$56)),0)</f>
        <v>-2535674.14674403</v>
      </c>
      <c r="M58" s="10" t="n">
        <f aca="false">IF(AND(M$4&gt;=Assumptions!$C$13,M$4&lt;Assumptions!$C$13+Assumptions!$C$20),PPMT(Assumptions!$C$18,M$4-Assumptions!$C$13+1,Assumptions!$C$20,SUM($C$56:$AG$56)),0)</f>
        <v>-2738528.07848355</v>
      </c>
      <c r="N58" s="10" t="n">
        <f aca="false">IF(AND(N$4&gt;=Assumptions!$C$13,N$4&lt;Assumptions!$C$13+Assumptions!$C$20),PPMT(Assumptions!$C$18,N$4-Assumptions!$C$13+1,Assumptions!$C$20,SUM($C$56:$AG$56)),0)</f>
        <v>-2957610.32476224</v>
      </c>
      <c r="O58" s="10" t="n">
        <f aca="false">IF(AND(O$4&gt;=Assumptions!$C$13,O$4&lt;Assumptions!$C$13+Assumptions!$C$20),PPMT(Assumptions!$C$18,O$4-Assumptions!$C$13+1,Assumptions!$C$20,SUM($C$56:$AG$56)),0)</f>
        <v>-3194219.15074322</v>
      </c>
      <c r="P58" s="10" t="n">
        <f aca="false">IF(AND(P$4&gt;=Assumptions!$C$13,P$4&lt;Assumptions!$C$13+Assumptions!$C$20),PPMT(Assumptions!$C$18,P$4-Assumptions!$C$13+1,Assumptions!$C$20,SUM($C$56:$AG$56)),0)</f>
        <v>-3449756.68280267</v>
      </c>
      <c r="Q58" s="10" t="n">
        <f aca="false">IF(AND(Q$4&gt;=Assumptions!$C$13,Q$4&lt;Assumptions!$C$13+Assumptions!$C$20),PPMT(Assumptions!$C$18,Q$4-Assumptions!$C$13+1,Assumptions!$C$20,SUM($C$56:$AG$56)),0)</f>
        <v>0</v>
      </c>
      <c r="R58" s="10" t="n">
        <f aca="false">IF(AND(R$4&gt;=Assumptions!$C$13,R$4&lt;Assumptions!$C$13+Assumptions!$C$20),PPMT(Assumptions!$C$18,R$4-Assumptions!$C$13+1,Assumptions!$C$20,SUM($C$56:$AG$56)),0)</f>
        <v>0</v>
      </c>
      <c r="S58" s="10" t="n">
        <f aca="false">IF(AND(S$4&gt;=Assumptions!$C$13,S$4&lt;Assumptions!$C$13+Assumptions!$C$20),PPMT(Assumptions!$C$18,S$4-Assumptions!$C$13+1,Assumptions!$C$20,SUM($C$56:$AG$56)),0)</f>
        <v>0</v>
      </c>
      <c r="T58" s="10" t="n">
        <f aca="false">IF(AND(T$4&gt;=Assumptions!$C$13,T$4&lt;Assumptions!$C$13+Assumptions!$C$20),PPMT(Assumptions!$C$18,T$4-Assumptions!$C$13+1,Assumptions!$C$20,SUM($C$56:$AG$56)),0)</f>
        <v>0</v>
      </c>
      <c r="U58" s="10" t="n">
        <f aca="false">IF(AND(U$4&gt;=Assumptions!$C$13,U$4&lt;Assumptions!$C$13+Assumptions!$C$20),PPMT(Assumptions!$C$18,U$4-Assumptions!$C$13+1,Assumptions!$C$20,SUM($C$56:$AG$56)),0)</f>
        <v>0</v>
      </c>
      <c r="V58" s="10" t="n">
        <f aca="false">IF(AND(V$4&gt;=Assumptions!$C$13,V$4&lt;Assumptions!$C$13+Assumptions!$C$20),PPMT(Assumptions!$C$18,V$4-Assumptions!$C$13+1,Assumptions!$C$20,SUM($C$56:$AG$56)),0)</f>
        <v>0</v>
      </c>
      <c r="W58" s="10" t="n">
        <f aca="false">IF(AND(W$4&gt;=Assumptions!$C$13,W$4&lt;Assumptions!$C$13+Assumptions!$C$20),PPMT(Assumptions!$C$18,W$4-Assumptions!$C$13+1,Assumptions!$C$20,SUM($C$56:$AG$56)),0)</f>
        <v>0</v>
      </c>
      <c r="X58" s="10" t="n">
        <f aca="false">IF(AND(X$4&gt;=Assumptions!$C$13,X$4&lt;Assumptions!$C$13+Assumptions!$C$20),PPMT(Assumptions!$C$18,X$4-Assumptions!$C$13+1,Assumptions!$C$20,SUM($C$56:$AG$56)),0)</f>
        <v>0</v>
      </c>
      <c r="Y58" s="10" t="n">
        <f aca="false">IF(AND(Y$4&gt;=Assumptions!$C$13,Y$4&lt;Assumptions!$C$13+Assumptions!$C$20),PPMT(Assumptions!$C$18,Y$4-Assumptions!$C$13+1,Assumptions!$C$20,SUM($C$56:$AG$56)),0)</f>
        <v>0</v>
      </c>
      <c r="Z58" s="10" t="n">
        <f aca="false">IF(AND(Z$4&gt;=Assumptions!$C$13,Z$4&lt;Assumptions!$C$13+Assumptions!$C$20),PPMT(Assumptions!$C$18,Z$4-Assumptions!$C$13+1,Assumptions!$C$20,SUM($C$56:$AG$56)),0)</f>
        <v>0</v>
      </c>
      <c r="AA58" s="10" t="n">
        <f aca="false">IF(AND(AA$4&gt;=Assumptions!$C$13,AA$4&lt;Assumptions!$C$13+Assumptions!$C$20),PPMT(Assumptions!$C$18,AA$4-Assumptions!$C$13+1,Assumptions!$C$20,SUM($C$56:$AG$56)),0)</f>
        <v>0</v>
      </c>
      <c r="AB58" s="10" t="n">
        <f aca="false">IF(AND(AB$4&gt;=Assumptions!$C$13,AB$4&lt;Assumptions!$C$13+Assumptions!$C$20),PPMT(Assumptions!$C$18,AB$4-Assumptions!$C$13+1,Assumptions!$C$20,SUM($C$56:$AG$56)),0)</f>
        <v>0</v>
      </c>
      <c r="AC58" s="10" t="n">
        <f aca="false">IF(AND(AC$4&gt;=Assumptions!$C$13,AC$4&lt;Assumptions!$C$13+Assumptions!$C$20),PPMT(Assumptions!$C$18,AC$4-Assumptions!$C$13+1,Assumptions!$C$20,SUM($C$56:$AG$56)),0)</f>
        <v>0</v>
      </c>
      <c r="AD58" s="10" t="n">
        <f aca="false">IF(AND(AD$4&gt;=Assumptions!$C$13,AD$4&lt;Assumptions!$C$13+Assumptions!$C$20),PPMT(Assumptions!$C$18,AD$4-Assumptions!$C$13+1,Assumptions!$C$20,SUM($C$56:$AG$56)),0)</f>
        <v>0</v>
      </c>
      <c r="AE58" s="10" t="n">
        <f aca="false">IF(AND(AE$4&gt;=Assumptions!$C$13,AE$4&lt;Assumptions!$C$13+Assumptions!$C$20),PPMT(Assumptions!$C$18,AE$4-Assumptions!$C$13+1,Assumptions!$C$20,SUM($C$56:$AG$56)),0)</f>
        <v>0</v>
      </c>
      <c r="AF58" s="10" t="n">
        <f aca="false">IF(AND(AF$4&gt;=Assumptions!$C$13,AF$4&lt;Assumptions!$C$13+Assumptions!$C$20),PPMT(Assumptions!$C$18,AF$4-Assumptions!$C$13+1,Assumptions!$C$20,SUM($C$56:$AG$56)),0)</f>
        <v>0</v>
      </c>
      <c r="AG58" s="10" t="n">
        <f aca="false">IF(AND(AG$4&gt;=Assumptions!$C$13,AG$4&lt;Assumptions!$C$13+Assumptions!$C$20),PPMT(Assumptions!$C$18,AG$4-Assumptions!$C$13+1,Assumptions!$C$20,SUM($C$56:$AG$56)),0)</f>
        <v>0</v>
      </c>
    </row>
    <row r="59" customFormat="false" ht="15" hidden="false" customHeight="true" outlineLevel="0" collapsed="false">
      <c r="B59" s="3" t="s">
        <v>132</v>
      </c>
      <c r="C59" s="10" t="n">
        <f aca="false">-(C57+C56)*Assumptions!$C$18</f>
        <v>-0</v>
      </c>
      <c r="D59" s="10" t="n">
        <f aca="false">-(D57+D56)*Assumptions!$C$18</f>
        <v>-0</v>
      </c>
      <c r="E59" s="10" t="n">
        <f aca="false">-(E57+E56)*Assumptions!$C$18</f>
        <v>-1000000</v>
      </c>
      <c r="F59" s="10" t="n">
        <f aca="false">-(F57+F56)*Assumptions!$C$18</f>
        <v>-2000000</v>
      </c>
      <c r="G59" s="10" t="n">
        <f aca="false">-(G57+G56)*Assumptions!$C$18</f>
        <v>-2000000</v>
      </c>
      <c r="H59" s="10" t="n">
        <f aca="false">-(H57+H56)*Assumptions!$C$18</f>
        <v>-1861941.02260585</v>
      </c>
      <c r="I59" s="10" t="n">
        <f aca="false">-(I57+I56)*Assumptions!$C$18</f>
        <v>-1712837.32702017</v>
      </c>
      <c r="J59" s="10" t="n">
        <f aca="false">-(J57+J56)*Assumptions!$C$18</f>
        <v>-1551805.33578763</v>
      </c>
      <c r="K59" s="10" t="n">
        <f aca="false">-(K57+K56)*Assumptions!$C$18</f>
        <v>-1377890.78525649</v>
      </c>
      <c r="L59" s="10" t="n">
        <f aca="false">-(L57+L56)*Assumptions!$C$18</f>
        <v>-1190063.07068286</v>
      </c>
      <c r="M59" s="10" t="n">
        <f aca="false">-(M57+M56)*Assumptions!$C$18</f>
        <v>-987209.138943334</v>
      </c>
      <c r="N59" s="10" t="n">
        <f aca="false">-(N57+N56)*Assumptions!$C$18</f>
        <v>-768126.89266465</v>
      </c>
      <c r="O59" s="10" t="n">
        <f aca="false">-(O57+O56)*Assumptions!$C$18</f>
        <v>-531518.066683671</v>
      </c>
      <c r="P59" s="10" t="n">
        <f aca="false">-(P57+P56)*Assumptions!$C$18</f>
        <v>-275980.534624214</v>
      </c>
      <c r="Q59" s="10" t="n">
        <f aca="false">-(Q57+Q56)*Assumptions!$C$18</f>
        <v>-0</v>
      </c>
      <c r="R59" s="10" t="n">
        <f aca="false">-(R57+R56)*Assumptions!$C$18</f>
        <v>-0</v>
      </c>
      <c r="S59" s="10" t="n">
        <f aca="false">-(S57+S56)*Assumptions!$C$18</f>
        <v>-0</v>
      </c>
      <c r="T59" s="10" t="n">
        <f aca="false">-(T57+T56)*Assumptions!$C$18</f>
        <v>-0</v>
      </c>
      <c r="U59" s="10" t="n">
        <f aca="false">-(U57+U56)*Assumptions!$C$18</f>
        <v>-0</v>
      </c>
      <c r="V59" s="10" t="n">
        <f aca="false">-(V57+V56)*Assumptions!$C$18</f>
        <v>-0</v>
      </c>
      <c r="W59" s="10" t="n">
        <f aca="false">-(W57+W56)*Assumptions!$C$18</f>
        <v>-0</v>
      </c>
      <c r="X59" s="10" t="n">
        <f aca="false">-(X57+X56)*Assumptions!$C$18</f>
        <v>-0</v>
      </c>
      <c r="Y59" s="10" t="n">
        <f aca="false">-(Y57+Y56)*Assumptions!$C$18</f>
        <v>-0</v>
      </c>
      <c r="Z59" s="10" t="n">
        <f aca="false">-(Z57+Z56)*Assumptions!$C$18</f>
        <v>-0</v>
      </c>
      <c r="AA59" s="10" t="n">
        <f aca="false">-(AA57+AA56)*Assumptions!$C$18</f>
        <v>-0</v>
      </c>
      <c r="AB59" s="10" t="n">
        <f aca="false">-(AB57+AB56)*Assumptions!$C$18</f>
        <v>-0</v>
      </c>
      <c r="AC59" s="10" t="n">
        <f aca="false">-(AC57+AC56)*Assumptions!$C$18</f>
        <v>-0</v>
      </c>
      <c r="AD59" s="10" t="n">
        <f aca="false">-(AD57+AD56)*Assumptions!$C$18</f>
        <v>-0</v>
      </c>
      <c r="AE59" s="10" t="n">
        <f aca="false">-(AE57+AE56)*Assumptions!$C$18</f>
        <v>-0</v>
      </c>
      <c r="AF59" s="10" t="n">
        <f aca="false">-(AF57+AF56)*Assumptions!$C$18</f>
        <v>-0</v>
      </c>
      <c r="AG59" s="10" t="n">
        <f aca="false">-(AG57+AG56)*Assumptions!$C$18</f>
        <v>-0</v>
      </c>
    </row>
    <row r="60" customFormat="false" ht="15" hidden="false" customHeight="true" outlineLevel="0" collapsed="false">
      <c r="B60" s="8" t="s">
        <v>133</v>
      </c>
      <c r="C60" s="19" t="n">
        <f aca="false">C57+C56+C58</f>
        <v>0</v>
      </c>
      <c r="D60" s="19" t="n">
        <f aca="false">D57+D56+D58</f>
        <v>0</v>
      </c>
      <c r="E60" s="19" t="n">
        <f aca="false">E57+E56+E58</f>
        <v>12500000</v>
      </c>
      <c r="F60" s="19" t="n">
        <f aca="false">F57+F56+F58</f>
        <v>25000000</v>
      </c>
      <c r="G60" s="19" t="n">
        <f aca="false">G57+G56+G58</f>
        <v>23274262.7825731</v>
      </c>
      <c r="H60" s="19" t="n">
        <f aca="false">H57+H56+H58</f>
        <v>21410466.5877521</v>
      </c>
      <c r="I60" s="19" t="n">
        <f aca="false">I57+I56+I58</f>
        <v>19397566.6973454</v>
      </c>
      <c r="J60" s="19" t="n">
        <f aca="false">J57+J56+J58</f>
        <v>17223634.8157061</v>
      </c>
      <c r="K60" s="19" t="n">
        <f aca="false">K57+K56+K58</f>
        <v>14875788.3835357</v>
      </c>
      <c r="L60" s="19" t="n">
        <f aca="false">L57+L56+L58</f>
        <v>12340114.2367917</v>
      </c>
      <c r="M60" s="19" t="n">
        <f aca="false">M57+M56+M58</f>
        <v>9601586.15830812</v>
      </c>
      <c r="N60" s="19" t="n">
        <f aca="false">N57+N56+N58</f>
        <v>6643975.83354589</v>
      </c>
      <c r="O60" s="19" t="n">
        <f aca="false">O57+O56+O58</f>
        <v>3449756.68280267</v>
      </c>
      <c r="P60" s="19" t="n">
        <f aca="false">P57+P56+P58</f>
        <v>0</v>
      </c>
      <c r="Q60" s="19" t="n">
        <f aca="false">Q57+Q56+Q58</f>
        <v>0</v>
      </c>
      <c r="R60" s="19" t="n">
        <f aca="false">R57+R56+R58</f>
        <v>0</v>
      </c>
      <c r="S60" s="19" t="n">
        <f aca="false">S57+S56+S58</f>
        <v>0</v>
      </c>
      <c r="T60" s="19" t="n">
        <f aca="false">T57+T56+T58</f>
        <v>0</v>
      </c>
      <c r="U60" s="19" t="n">
        <f aca="false">U57+U56+U58</f>
        <v>0</v>
      </c>
      <c r="V60" s="19" t="n">
        <f aca="false">V57+V56+V58</f>
        <v>0</v>
      </c>
      <c r="W60" s="19" t="n">
        <f aca="false">W57+W56+W58</f>
        <v>0</v>
      </c>
      <c r="X60" s="19" t="n">
        <f aca="false">X57+X56+X58</f>
        <v>0</v>
      </c>
      <c r="Y60" s="19" t="n">
        <f aca="false">Y57+Y56+Y58</f>
        <v>0</v>
      </c>
      <c r="Z60" s="19" t="n">
        <f aca="false">Z57+Z56+Z58</f>
        <v>0</v>
      </c>
      <c r="AA60" s="19" t="n">
        <f aca="false">AA57+AA56+AA58</f>
        <v>0</v>
      </c>
      <c r="AB60" s="19" t="n">
        <f aca="false">AB57+AB56+AB58</f>
        <v>0</v>
      </c>
      <c r="AC60" s="19" t="n">
        <f aca="false">AC57+AC56+AC58</f>
        <v>0</v>
      </c>
      <c r="AD60" s="19" t="n">
        <f aca="false">AD57+AD56+AD58</f>
        <v>0</v>
      </c>
      <c r="AE60" s="19" t="n">
        <f aca="false">AE57+AE56+AE58</f>
        <v>0</v>
      </c>
      <c r="AF60" s="19" t="n">
        <f aca="false">AF57+AF56+AF58</f>
        <v>0</v>
      </c>
      <c r="AG60" s="19" t="n">
        <f aca="false">AG57+AG56+AG58</f>
        <v>0</v>
      </c>
    </row>
    <row r="61" customFormat="false" ht="15" hidden="false" customHeight="true" outlineLevel="0" collapsed="false"/>
    <row r="62" customFormat="false" ht="15" hidden="false" customHeight="true" outlineLevel="0" collapsed="false">
      <c r="B62" s="13" t="s">
        <v>134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</row>
    <row r="63" customFormat="false" ht="15" hidden="false" customHeight="true" outlineLevel="0" collapsed="false">
      <c r="B63" s="3" t="s">
        <v>135</v>
      </c>
      <c r="C63" s="10" t="n">
        <f aca="false">C46+C53+C59</f>
        <v>235240</v>
      </c>
      <c r="D63" s="10" t="n">
        <f aca="false">D46+D53+D59</f>
        <v>4758240</v>
      </c>
      <c r="E63" s="10" t="n">
        <f aca="false">E46+E53+E59</f>
        <v>9209144.13793103</v>
      </c>
      <c r="F63" s="10" t="n">
        <f aca="false">F46+F53+F59</f>
        <v>16513696.2373596</v>
      </c>
      <c r="G63" s="10" t="n">
        <f aca="false">G46+G53+G59</f>
        <v>18991136.8577666</v>
      </c>
      <c r="H63" s="10" t="n">
        <f aca="false">H46+H53+H59</f>
        <v>20339096.1699162</v>
      </c>
      <c r="I63" s="10" t="n">
        <f aca="false">I46+I53+I59</f>
        <v>21267277.2888856</v>
      </c>
      <c r="J63" s="10" t="n">
        <f aca="false">J46+J53+J59</f>
        <v>22209339.0262035</v>
      </c>
      <c r="K63" s="10" t="n">
        <f aca="false">K46+K53+K59</f>
        <v>23209776.8152024</v>
      </c>
      <c r="L63" s="10" t="n">
        <f aca="false">L46+L53+L59</f>
        <v>24248923.4653979</v>
      </c>
      <c r="M63" s="10" t="n">
        <f aca="false">M46+M53+M59</f>
        <v>25306144.900828</v>
      </c>
      <c r="N63" s="10" t="n">
        <f aca="false">N46+N53+N59</f>
        <v>26428391.4059079</v>
      </c>
      <c r="O63" s="10" t="n">
        <f aca="false">O46+O53+O59</f>
        <v>27595259.4184542</v>
      </c>
      <c r="P63" s="10" t="n">
        <f aca="false">P46+P53+P59</f>
        <v>28785348.3626758</v>
      </c>
      <c r="Q63" s="10" t="n">
        <f aca="false">Q46+Q53+Q59</f>
        <v>30048240.8683272</v>
      </c>
      <c r="R63" s="10" t="n">
        <f aca="false">R46+R53+R59</f>
        <v>31064760.1984851</v>
      </c>
      <c r="S63" s="10" t="n">
        <f aca="false">S46+S53+S59</f>
        <v>32086978.7810477</v>
      </c>
      <c r="T63" s="10" t="n">
        <f aca="false">T46+T53+T59</f>
        <v>33165404.1384123</v>
      </c>
      <c r="U63" s="10" t="n">
        <f aca="false">U46+U53+U59</f>
        <v>34276182.2564978</v>
      </c>
      <c r="V63" s="10" t="n">
        <f aca="false">V46+V53+V59</f>
        <v>35394247.5742258</v>
      </c>
      <c r="W63" s="10" t="n">
        <f aca="false">W46+W53+W59</f>
        <v>36572672.0797027</v>
      </c>
      <c r="X63" s="10" t="n">
        <f aca="false">X46+X53+X59</f>
        <v>37786449.3203438</v>
      </c>
      <c r="Y63" s="10" t="n">
        <f aca="false">Y46+Y53+Y59</f>
        <v>39009301.9272043</v>
      </c>
      <c r="Z63" s="10" t="n">
        <f aca="false">Z46+Z53+Z59</f>
        <v>40296998.2018005</v>
      </c>
      <c r="AA63" s="10" t="n">
        <f aca="false">AA46+AA53+AA59</f>
        <v>41623325.3646346</v>
      </c>
      <c r="AB63" s="10" t="n">
        <f aca="false">AB46+AB53+AB59</f>
        <v>42960737.4936538</v>
      </c>
      <c r="AC63" s="10" t="n">
        <f aca="false">AC46+AC53+AC59</f>
        <v>44367837.9807045</v>
      </c>
      <c r="AD63" s="10" t="n">
        <f aca="false">AD46+AD53+AD59</f>
        <v>45817151.4823667</v>
      </c>
      <c r="AE63" s="10" t="n">
        <f aca="false">AE46+AE53+AE59</f>
        <v>47279804.2980788</v>
      </c>
      <c r="AF63" s="10" t="n">
        <f aca="false">AF46+AF53+AF59</f>
        <v>48817380.9919923</v>
      </c>
      <c r="AG63" s="10" t="n">
        <f aca="false">AG46+AG53+AG59</f>
        <v>50401084.9867231</v>
      </c>
    </row>
    <row r="64" customFormat="false" ht="15" hidden="false" customHeight="true" outlineLevel="0" collapsed="false">
      <c r="B64" s="3" t="s">
        <v>19</v>
      </c>
      <c r="C64" s="10" t="n">
        <f aca="false">-MAX(0,C63)*Assumptions!$C$25</f>
        <v>-47048</v>
      </c>
      <c r="D64" s="10" t="n">
        <f aca="false">-MAX(0,D63)*Assumptions!$C$25</f>
        <v>-951648.000000001</v>
      </c>
      <c r="E64" s="10" t="n">
        <f aca="false">-MAX(0,E63)*Assumptions!$C$25</f>
        <v>-1841828.82758621</v>
      </c>
      <c r="F64" s="10" t="n">
        <f aca="false">-MAX(0,F63)*Assumptions!$C$25</f>
        <v>-3302739.24747192</v>
      </c>
      <c r="G64" s="10" t="n">
        <f aca="false">-MAX(0,G63)*Assumptions!$C$25</f>
        <v>-3798227.37155333</v>
      </c>
      <c r="H64" s="10" t="n">
        <f aca="false">-MAX(0,H63)*Assumptions!$C$25</f>
        <v>-4067819.23398324</v>
      </c>
      <c r="I64" s="10" t="n">
        <f aca="false">-MAX(0,I63)*Assumptions!$C$25</f>
        <v>-4253455.45777713</v>
      </c>
      <c r="J64" s="10" t="n">
        <f aca="false">-MAX(0,J63)*Assumptions!$C$25</f>
        <v>-4441867.80524069</v>
      </c>
      <c r="K64" s="10" t="n">
        <f aca="false">-MAX(0,K63)*Assumptions!$C$25</f>
        <v>-4641955.36304049</v>
      </c>
      <c r="L64" s="10" t="n">
        <f aca="false">-MAX(0,L63)*Assumptions!$C$25</f>
        <v>-4849784.69307959</v>
      </c>
      <c r="M64" s="10" t="n">
        <f aca="false">-MAX(0,M63)*Assumptions!$C$25</f>
        <v>-5061228.9801656</v>
      </c>
      <c r="N64" s="10" t="n">
        <f aca="false">-MAX(0,N63)*Assumptions!$C$25</f>
        <v>-5285678.28118158</v>
      </c>
      <c r="O64" s="10" t="n">
        <f aca="false">-MAX(0,O63)*Assumptions!$C$25</f>
        <v>-5519051.88369083</v>
      </c>
      <c r="P64" s="10" t="n">
        <f aca="false">-MAX(0,P63)*Assumptions!$C$25</f>
        <v>-5757069.67253517</v>
      </c>
      <c r="Q64" s="10" t="n">
        <f aca="false">-MAX(0,Q63)*Assumptions!$C$25</f>
        <v>-6009648.17366544</v>
      </c>
      <c r="R64" s="10" t="n">
        <f aca="false">-MAX(0,R63)*Assumptions!$C$25</f>
        <v>-6212952.03969702</v>
      </c>
      <c r="S64" s="10" t="n">
        <f aca="false">-MAX(0,S63)*Assumptions!$C$25</f>
        <v>-6417395.75620955</v>
      </c>
      <c r="T64" s="10" t="n">
        <f aca="false">-MAX(0,T63)*Assumptions!$C$25</f>
        <v>-6633080.82768246</v>
      </c>
      <c r="U64" s="10" t="n">
        <f aca="false">-MAX(0,U63)*Assumptions!$C$25</f>
        <v>-6855236.45129955</v>
      </c>
      <c r="V64" s="10" t="n">
        <f aca="false">-MAX(0,V63)*Assumptions!$C$25</f>
        <v>-7078849.51484516</v>
      </c>
      <c r="W64" s="10" t="n">
        <f aca="false">-MAX(0,W63)*Assumptions!$C$25</f>
        <v>-7314534.41594053</v>
      </c>
      <c r="X64" s="10" t="n">
        <f aca="false">-MAX(0,X63)*Assumptions!$C$25</f>
        <v>-7557289.86406877</v>
      </c>
      <c r="Y64" s="10" t="n">
        <f aca="false">-MAX(0,Y63)*Assumptions!$C$25</f>
        <v>-7801860.38544085</v>
      </c>
      <c r="Z64" s="10" t="n">
        <f aca="false">-MAX(0,Z63)*Assumptions!$C$25</f>
        <v>-8059399.6403601</v>
      </c>
      <c r="AA64" s="10" t="n">
        <f aca="false">-MAX(0,AA63)*Assumptions!$C$25</f>
        <v>-8324665.07292692</v>
      </c>
      <c r="AB64" s="10" t="n">
        <f aca="false">-MAX(0,AB63)*Assumptions!$C$25</f>
        <v>-8592147.49873075</v>
      </c>
      <c r="AC64" s="10" t="n">
        <f aca="false">-MAX(0,AC63)*Assumptions!$C$25</f>
        <v>-8873567.5961409</v>
      </c>
      <c r="AD64" s="10" t="n">
        <f aca="false">-MAX(0,AD63)*Assumptions!$C$25</f>
        <v>-9163430.29647334</v>
      </c>
      <c r="AE64" s="10" t="n">
        <f aca="false">-MAX(0,AE63)*Assumptions!$C$25</f>
        <v>-9455960.85961576</v>
      </c>
      <c r="AF64" s="10" t="n">
        <f aca="false">-MAX(0,AF63)*Assumptions!$C$25</f>
        <v>-9763476.19839845</v>
      </c>
      <c r="AG64" s="10" t="n">
        <f aca="false">-MAX(0,AG63)*Assumptions!$C$25</f>
        <v>-10080216.9973446</v>
      </c>
    </row>
    <row r="65" customFormat="false" ht="15" hidden="false" customHeight="true" outlineLevel="0" collapsed="false">
      <c r="B65" s="8" t="s">
        <v>136</v>
      </c>
      <c r="C65" s="19" t="n">
        <f aca="false">C63+C64</f>
        <v>188192</v>
      </c>
      <c r="D65" s="19" t="n">
        <f aca="false">D63+D64</f>
        <v>3806592</v>
      </c>
      <c r="E65" s="19" t="n">
        <f aca="false">E63+E64</f>
        <v>7367315.31034483</v>
      </c>
      <c r="F65" s="19" t="n">
        <f aca="false">F63+F64</f>
        <v>13210956.9898877</v>
      </c>
      <c r="G65" s="19" t="n">
        <f aca="false">G63+G64</f>
        <v>15192909.4862133</v>
      </c>
      <c r="H65" s="19" t="n">
        <f aca="false">H63+H64</f>
        <v>16271276.935933</v>
      </c>
      <c r="I65" s="19" t="n">
        <f aca="false">I63+I64</f>
        <v>17013821.8311085</v>
      </c>
      <c r="J65" s="19" t="n">
        <f aca="false">J63+J64</f>
        <v>17767471.2209628</v>
      </c>
      <c r="K65" s="19" t="n">
        <f aca="false">K63+K64</f>
        <v>18567821.4521619</v>
      </c>
      <c r="L65" s="19" t="n">
        <f aca="false">L63+L64</f>
        <v>19399138.7723183</v>
      </c>
      <c r="M65" s="19" t="n">
        <f aca="false">M63+M64</f>
        <v>20244915.9206624</v>
      </c>
      <c r="N65" s="19" t="n">
        <f aca="false">N63+N64</f>
        <v>21142713.1247263</v>
      </c>
      <c r="O65" s="19" t="n">
        <f aca="false">O63+O64</f>
        <v>22076207.5347633</v>
      </c>
      <c r="P65" s="19" t="n">
        <f aca="false">P63+P64</f>
        <v>23028278.6901407</v>
      </c>
      <c r="Q65" s="19" t="n">
        <f aca="false">Q63+Q64</f>
        <v>24038592.6946617</v>
      </c>
      <c r="R65" s="19" t="n">
        <f aca="false">R63+R64</f>
        <v>24851808.1587881</v>
      </c>
      <c r="S65" s="19" t="n">
        <f aca="false">S63+S64</f>
        <v>25669583.0248382</v>
      </c>
      <c r="T65" s="19" t="n">
        <f aca="false">T63+T64</f>
        <v>26532323.3107298</v>
      </c>
      <c r="U65" s="19" t="n">
        <f aca="false">U63+U64</f>
        <v>27420945.8051982</v>
      </c>
      <c r="V65" s="19" t="n">
        <f aca="false">V63+V64</f>
        <v>28315398.0593806</v>
      </c>
      <c r="W65" s="19" t="n">
        <f aca="false">W63+W64</f>
        <v>29258137.6637621</v>
      </c>
      <c r="X65" s="19" t="n">
        <f aca="false">X63+X64</f>
        <v>30229159.4562751</v>
      </c>
      <c r="Y65" s="19" t="n">
        <f aca="false">Y63+Y64</f>
        <v>31207441.5417634</v>
      </c>
      <c r="Z65" s="19" t="n">
        <f aca="false">Z63+Z64</f>
        <v>32237598.5614404</v>
      </c>
      <c r="AA65" s="19" t="n">
        <f aca="false">AA63+AA64</f>
        <v>33298660.2917077</v>
      </c>
      <c r="AB65" s="19" t="n">
        <f aca="false">AB63+AB64</f>
        <v>34368589.994923</v>
      </c>
      <c r="AC65" s="19" t="n">
        <f aca="false">AC63+AC64</f>
        <v>35494270.3845636</v>
      </c>
      <c r="AD65" s="19" t="n">
        <f aca="false">AD63+AD64</f>
        <v>36653721.1858934</v>
      </c>
      <c r="AE65" s="19" t="n">
        <f aca="false">AE63+AE64</f>
        <v>37823843.438463</v>
      </c>
      <c r="AF65" s="19" t="n">
        <f aca="false">AF63+AF64</f>
        <v>39053904.7935938</v>
      </c>
      <c r="AG65" s="19" t="n">
        <f aca="false">AG63+AG64</f>
        <v>40320867.9893785</v>
      </c>
    </row>
    <row r="66" customFormat="false" ht="15" hidden="false" customHeight="true" outlineLevel="0" collapsed="false"/>
    <row r="67" customFormat="false" ht="15" hidden="false" customHeight="true" outlineLevel="0" collapsed="false">
      <c r="B67" s="13" t="s">
        <v>137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</row>
    <row r="68" customFormat="false" ht="15" hidden="false" customHeight="true" outlineLevel="0" collapsed="false">
      <c r="B68" s="3" t="s">
        <v>138</v>
      </c>
      <c r="C68" s="10" t="n">
        <f aca="false">Assumptions!$C$9</f>
        <v>3000000</v>
      </c>
      <c r="D68" s="10" t="n">
        <f aca="false">C79</f>
        <v>3438192</v>
      </c>
      <c r="E68" s="10" t="n">
        <f aca="false">D79</f>
        <v>1009180.8</v>
      </c>
      <c r="F68" s="10" t="n">
        <f aca="false">E79</f>
        <v>1000000</v>
      </c>
      <c r="G68" s="10" t="n">
        <f aca="false">F79</f>
        <v>1000000</v>
      </c>
      <c r="H68" s="10" t="n">
        <f aca="false">G79</f>
        <v>4893009.45910847</v>
      </c>
      <c r="I68" s="10" t="n">
        <f aca="false">H79</f>
        <v>8809715.05828073</v>
      </c>
      <c r="J68" s="10" t="n">
        <f aca="false">I79</f>
        <v>12688698.6961437</v>
      </c>
      <c r="K68" s="10" t="n">
        <f aca="false">J79</f>
        <v>16519697.7512522</v>
      </c>
      <c r="L68" s="10" t="n">
        <f aca="false">K79</f>
        <v>20296834.7905094</v>
      </c>
      <c r="M68" s="10" t="n">
        <f aca="false">L79</f>
        <v>24010841.7132165</v>
      </c>
      <c r="N68" s="10" t="n">
        <f aca="false">M79</f>
        <v>27648861.2764357</v>
      </c>
      <c r="O68" s="10" t="n">
        <f aca="false">N79</f>
        <v>31202468.1739857</v>
      </c>
      <c r="P68" s="10" t="n">
        <f aca="false">O79</f>
        <v>34659490.4070604</v>
      </c>
      <c r="Q68" s="10" t="n">
        <f aca="false">P79</f>
        <v>6000000</v>
      </c>
      <c r="R68" s="10" t="n">
        <f aca="false">Q79</f>
        <v>6000000</v>
      </c>
      <c r="S68" s="10" t="n">
        <f aca="false">R79</f>
        <v>6000000</v>
      </c>
      <c r="T68" s="10" t="n">
        <f aca="false">S79</f>
        <v>6000000</v>
      </c>
      <c r="U68" s="10" t="n">
        <f aca="false">T79</f>
        <v>6000000</v>
      </c>
      <c r="V68" s="10" t="n">
        <f aca="false">U79</f>
        <v>6000000</v>
      </c>
      <c r="W68" s="10" t="n">
        <f aca="false">V79</f>
        <v>6000000</v>
      </c>
      <c r="X68" s="10" t="n">
        <f aca="false">W79</f>
        <v>6000000</v>
      </c>
      <c r="Y68" s="10" t="n">
        <f aca="false">X79</f>
        <v>6000000</v>
      </c>
      <c r="Z68" s="10" t="n">
        <f aca="false">Y79</f>
        <v>6000000</v>
      </c>
      <c r="AA68" s="10" t="n">
        <f aca="false">Z79</f>
        <v>6000000</v>
      </c>
      <c r="AB68" s="10" t="n">
        <f aca="false">AA79</f>
        <v>6000000</v>
      </c>
      <c r="AC68" s="10" t="n">
        <f aca="false">AB79</f>
        <v>6000000</v>
      </c>
      <c r="AD68" s="10" t="n">
        <f aca="false">AC79</f>
        <v>6000000</v>
      </c>
      <c r="AE68" s="10" t="n">
        <f aca="false">AD79</f>
        <v>6000000</v>
      </c>
      <c r="AF68" s="10" t="n">
        <f aca="false">AE79</f>
        <v>6000000</v>
      </c>
      <c r="AG68" s="10" t="n">
        <f aca="false">AF79</f>
        <v>6000000</v>
      </c>
    </row>
    <row r="69" customFormat="false" ht="15" hidden="false" customHeight="true" outlineLevel="0" collapsed="false">
      <c r="B69" s="3" t="s">
        <v>139</v>
      </c>
      <c r="C69" s="10" t="n">
        <f aca="false">C65-C53</f>
        <v>438192</v>
      </c>
      <c r="D69" s="10" t="n">
        <f aca="false">D65-D53</f>
        <v>4806592</v>
      </c>
      <c r="E69" s="10" t="n">
        <f aca="false">E65-E53</f>
        <v>8815591.17241379</v>
      </c>
      <c r="F69" s="10" t="n">
        <f aca="false">F65-F53</f>
        <v>15587804.2805281</v>
      </c>
      <c r="G69" s="10" t="n">
        <f aca="false">G65-G53</f>
        <v>18532719.7398167</v>
      </c>
      <c r="H69" s="10" t="n">
        <f aca="false">H65-H53</f>
        <v>19611087.1895363</v>
      </c>
      <c r="I69" s="10" t="n">
        <f aca="false">I65-I53</f>
        <v>20353632.0847119</v>
      </c>
      <c r="J69" s="10" t="n">
        <f aca="false">J65-J53</f>
        <v>21107281.4745661</v>
      </c>
      <c r="K69" s="10" t="n">
        <f aca="false">K65-K53</f>
        <v>21907631.7057653</v>
      </c>
      <c r="L69" s="10" t="n">
        <f aca="false">L65-L53</f>
        <v>22738949.0259217</v>
      </c>
      <c r="M69" s="10" t="n">
        <f aca="false">M65-M53</f>
        <v>23584726.1742658</v>
      </c>
      <c r="N69" s="10" t="n">
        <f aca="false">N65-N53</f>
        <v>24482523.3783297</v>
      </c>
      <c r="O69" s="10" t="n">
        <f aca="false">O65-O53</f>
        <v>25416017.7883667</v>
      </c>
      <c r="P69" s="10" t="n">
        <f aca="false">P65-P53</f>
        <v>26368088.943744</v>
      </c>
      <c r="Q69" s="10" t="n">
        <f aca="false">Q65-Q53</f>
        <v>27378402.9482651</v>
      </c>
      <c r="R69" s="10" t="n">
        <f aca="false">R65-R53</f>
        <v>28191618.4123914</v>
      </c>
      <c r="S69" s="10" t="n">
        <f aca="false">S65-S53</f>
        <v>29009393.2784415</v>
      </c>
      <c r="T69" s="10" t="n">
        <f aca="false">T65-T53</f>
        <v>29872133.5643332</v>
      </c>
      <c r="U69" s="10" t="n">
        <f aca="false">U65-U53</f>
        <v>30760756.0588016</v>
      </c>
      <c r="V69" s="10" t="n">
        <f aca="false">V65-V53</f>
        <v>31655208.312984</v>
      </c>
      <c r="W69" s="10" t="n">
        <f aca="false">W65-W53</f>
        <v>32597947.9173655</v>
      </c>
      <c r="X69" s="10" t="n">
        <f aca="false">X65-X53</f>
        <v>33568969.7098784</v>
      </c>
      <c r="Y69" s="10" t="n">
        <f aca="false">Y65-Y53</f>
        <v>34547251.7953668</v>
      </c>
      <c r="Z69" s="10" t="n">
        <f aca="false">Z65-Z53</f>
        <v>35577408.8150438</v>
      </c>
      <c r="AA69" s="10" t="n">
        <f aca="false">AA65-AA53</f>
        <v>36638470.545311</v>
      </c>
      <c r="AB69" s="10" t="n">
        <f aca="false">AB65-AB53</f>
        <v>37708400.2485264</v>
      </c>
      <c r="AC69" s="10" t="n">
        <f aca="false">AC65-AC53</f>
        <v>38834080.6381669</v>
      </c>
      <c r="AD69" s="10" t="n">
        <f aca="false">AD65-AD53</f>
        <v>39993531.4394967</v>
      </c>
      <c r="AE69" s="10" t="n">
        <f aca="false">AE65-AE53</f>
        <v>41163653.6920664</v>
      </c>
      <c r="AF69" s="10" t="n">
        <f aca="false">AF65-AF53</f>
        <v>42393715.0471972</v>
      </c>
      <c r="AG69" s="10" t="n">
        <f aca="false">AG65-AG53</f>
        <v>43660678.2429819</v>
      </c>
    </row>
    <row r="70" customFormat="false" ht="15" hidden="false" customHeight="true" outlineLevel="0" collapsed="false">
      <c r="B70" s="3" t="s">
        <v>140</v>
      </c>
      <c r="C70" s="10" t="n">
        <f aca="false">C50</f>
        <v>-0</v>
      </c>
      <c r="D70" s="10" t="n">
        <f aca="false">D50</f>
        <v>-13000000</v>
      </c>
      <c r="E70" s="10" t="n">
        <f aca="false">E50</f>
        <v>-26000000</v>
      </c>
      <c r="F70" s="10" t="n">
        <f aca="false">F50</f>
        <v>-26000000</v>
      </c>
      <c r="G70" s="10" t="n">
        <f aca="false">G50</f>
        <v>-0</v>
      </c>
      <c r="H70" s="10" t="n">
        <f aca="false">H50</f>
        <v>-0</v>
      </c>
      <c r="I70" s="10" t="n">
        <f aca="false">I50</f>
        <v>-0</v>
      </c>
      <c r="J70" s="10" t="n">
        <f aca="false">J50</f>
        <v>-0</v>
      </c>
      <c r="K70" s="10" t="n">
        <f aca="false">K50</f>
        <v>-0</v>
      </c>
      <c r="L70" s="10" t="n">
        <f aca="false">L50</f>
        <v>-0</v>
      </c>
      <c r="M70" s="10" t="n">
        <f aca="false">M50</f>
        <v>-0</v>
      </c>
      <c r="N70" s="10" t="n">
        <f aca="false">N50</f>
        <v>-0</v>
      </c>
      <c r="O70" s="10" t="n">
        <f aca="false">O50</f>
        <v>-0</v>
      </c>
      <c r="P70" s="10" t="n">
        <f aca="false">P50</f>
        <v>-0</v>
      </c>
      <c r="Q70" s="10" t="n">
        <f aca="false">Q50</f>
        <v>-0</v>
      </c>
      <c r="R70" s="10" t="n">
        <f aca="false">R50</f>
        <v>-0</v>
      </c>
      <c r="S70" s="10" t="n">
        <f aca="false">S50</f>
        <v>-0</v>
      </c>
      <c r="T70" s="10" t="n">
        <f aca="false">T50</f>
        <v>-0</v>
      </c>
      <c r="U70" s="10" t="n">
        <f aca="false">U50</f>
        <v>-0</v>
      </c>
      <c r="V70" s="10" t="n">
        <f aca="false">V50</f>
        <v>-0</v>
      </c>
      <c r="W70" s="10" t="n">
        <f aca="false">W50</f>
        <v>-0</v>
      </c>
      <c r="X70" s="10" t="n">
        <f aca="false">X50</f>
        <v>-0</v>
      </c>
      <c r="Y70" s="10" t="n">
        <f aca="false">Y50</f>
        <v>-0</v>
      </c>
      <c r="Z70" s="10" t="n">
        <f aca="false">Z50</f>
        <v>-0</v>
      </c>
      <c r="AA70" s="10" t="n">
        <f aca="false">AA50</f>
        <v>-0</v>
      </c>
      <c r="AB70" s="10" t="n">
        <f aca="false">AB50</f>
        <v>-0</v>
      </c>
      <c r="AC70" s="10" t="n">
        <f aca="false">AC50</f>
        <v>-0</v>
      </c>
      <c r="AD70" s="10" t="n">
        <f aca="false">AD50</f>
        <v>-0</v>
      </c>
      <c r="AE70" s="10" t="n">
        <f aca="false">AE50</f>
        <v>-0</v>
      </c>
      <c r="AF70" s="10" t="n">
        <f aca="false">AF50</f>
        <v>-0</v>
      </c>
      <c r="AG70" s="10" t="n">
        <f aca="false">AG50</f>
        <v>-0</v>
      </c>
    </row>
    <row r="71" customFormat="false" ht="15" hidden="false" customHeight="true" outlineLevel="0" collapsed="false">
      <c r="B71" s="3" t="s">
        <v>129</v>
      </c>
      <c r="C71" s="10" t="n">
        <f aca="false">C56</f>
        <v>0</v>
      </c>
      <c r="D71" s="10" t="n">
        <f aca="false">D56</f>
        <v>0</v>
      </c>
      <c r="E71" s="10" t="n">
        <f aca="false">E56</f>
        <v>12500000</v>
      </c>
      <c r="F71" s="10" t="n">
        <f aca="false">F56</f>
        <v>12500000</v>
      </c>
      <c r="G71" s="10" t="n">
        <f aca="false">G56</f>
        <v>0</v>
      </c>
      <c r="H71" s="10" t="n">
        <f aca="false">H56</f>
        <v>0</v>
      </c>
      <c r="I71" s="10" t="n">
        <f aca="false">I56</f>
        <v>0</v>
      </c>
      <c r="J71" s="10" t="n">
        <f aca="false">J56</f>
        <v>0</v>
      </c>
      <c r="K71" s="10" t="n">
        <f aca="false">K56</f>
        <v>0</v>
      </c>
      <c r="L71" s="10" t="n">
        <f aca="false">L56</f>
        <v>0</v>
      </c>
      <c r="M71" s="10" t="n">
        <f aca="false">M56</f>
        <v>0</v>
      </c>
      <c r="N71" s="10" t="n">
        <f aca="false">N56</f>
        <v>0</v>
      </c>
      <c r="O71" s="10" t="n">
        <f aca="false">O56</f>
        <v>0</v>
      </c>
      <c r="P71" s="10" t="n">
        <f aca="false">P56</f>
        <v>0</v>
      </c>
      <c r="Q71" s="10" t="n">
        <f aca="false">Q56</f>
        <v>0</v>
      </c>
      <c r="R71" s="10" t="n">
        <f aca="false">R56</f>
        <v>0</v>
      </c>
      <c r="S71" s="10" t="n">
        <f aca="false">S56</f>
        <v>0</v>
      </c>
      <c r="T71" s="10" t="n">
        <f aca="false">T56</f>
        <v>0</v>
      </c>
      <c r="U71" s="10" t="n">
        <f aca="false">U56</f>
        <v>0</v>
      </c>
      <c r="V71" s="10" t="n">
        <f aca="false">V56</f>
        <v>0</v>
      </c>
      <c r="W71" s="10" t="n">
        <f aca="false">W56</f>
        <v>0</v>
      </c>
      <c r="X71" s="10" t="n">
        <f aca="false">X56</f>
        <v>0</v>
      </c>
      <c r="Y71" s="10" t="n">
        <f aca="false">Y56</f>
        <v>0</v>
      </c>
      <c r="Z71" s="10" t="n">
        <f aca="false">Z56</f>
        <v>0</v>
      </c>
      <c r="AA71" s="10" t="n">
        <f aca="false">AA56</f>
        <v>0</v>
      </c>
      <c r="AB71" s="10" t="n">
        <f aca="false">AB56</f>
        <v>0</v>
      </c>
      <c r="AC71" s="10" t="n">
        <f aca="false">AC56</f>
        <v>0</v>
      </c>
      <c r="AD71" s="10" t="n">
        <f aca="false">AD56</f>
        <v>0</v>
      </c>
      <c r="AE71" s="10" t="n">
        <f aca="false">AE56</f>
        <v>0</v>
      </c>
      <c r="AF71" s="10" t="n">
        <f aca="false">AF56</f>
        <v>0</v>
      </c>
      <c r="AG71" s="10" t="n">
        <f aca="false">AG56</f>
        <v>0</v>
      </c>
    </row>
    <row r="72" customFormat="false" ht="15" hidden="false" customHeight="true" outlineLevel="0" collapsed="false">
      <c r="B72" s="3" t="s">
        <v>141</v>
      </c>
      <c r="C72" s="10" t="n">
        <f aca="false">C58</f>
        <v>0</v>
      </c>
      <c r="D72" s="10" t="n">
        <f aca="false">D58</f>
        <v>0</v>
      </c>
      <c r="E72" s="10" t="n">
        <f aca="false">E58</f>
        <v>0</v>
      </c>
      <c r="F72" s="10" t="n">
        <f aca="false">F58</f>
        <v>0</v>
      </c>
      <c r="G72" s="10" t="n">
        <f aca="false">G58</f>
        <v>-1725737.21742689</v>
      </c>
      <c r="H72" s="10" t="n">
        <f aca="false">H58</f>
        <v>-1863796.19482104</v>
      </c>
      <c r="I72" s="10" t="n">
        <f aca="false">I58</f>
        <v>-2012899.89040672</v>
      </c>
      <c r="J72" s="10" t="n">
        <f aca="false">J58</f>
        <v>-2173931.88163926</v>
      </c>
      <c r="K72" s="10" t="n">
        <f aca="false">K58</f>
        <v>-2347846.4321704</v>
      </c>
      <c r="L72" s="10" t="n">
        <f aca="false">L58</f>
        <v>-2535674.14674403</v>
      </c>
      <c r="M72" s="10" t="n">
        <f aca="false">M58</f>
        <v>-2738528.07848355</v>
      </c>
      <c r="N72" s="10" t="n">
        <f aca="false">N58</f>
        <v>-2957610.32476224</v>
      </c>
      <c r="O72" s="10" t="n">
        <f aca="false">O58</f>
        <v>-3194219.15074322</v>
      </c>
      <c r="P72" s="10" t="n">
        <f aca="false">P58</f>
        <v>-3449756.68280267</v>
      </c>
      <c r="Q72" s="10" t="n">
        <f aca="false">Q58</f>
        <v>0</v>
      </c>
      <c r="R72" s="10" t="n">
        <f aca="false">R58</f>
        <v>0</v>
      </c>
      <c r="S72" s="10" t="n">
        <f aca="false">S58</f>
        <v>0</v>
      </c>
      <c r="T72" s="10" t="n">
        <f aca="false">T58</f>
        <v>0</v>
      </c>
      <c r="U72" s="10" t="n">
        <f aca="false">U58</f>
        <v>0</v>
      </c>
      <c r="V72" s="10" t="n">
        <f aca="false">V58</f>
        <v>0</v>
      </c>
      <c r="W72" s="10" t="n">
        <f aca="false">W58</f>
        <v>0</v>
      </c>
      <c r="X72" s="10" t="n">
        <f aca="false">X58</f>
        <v>0</v>
      </c>
      <c r="Y72" s="10" t="n">
        <f aca="false">Y58</f>
        <v>0</v>
      </c>
      <c r="Z72" s="10" t="n">
        <f aca="false">Z58</f>
        <v>0</v>
      </c>
      <c r="AA72" s="10" t="n">
        <f aca="false">AA58</f>
        <v>0</v>
      </c>
      <c r="AB72" s="10" t="n">
        <f aca="false">AB58</f>
        <v>0</v>
      </c>
      <c r="AC72" s="10" t="n">
        <f aca="false">AC58</f>
        <v>0</v>
      </c>
      <c r="AD72" s="10" t="n">
        <f aca="false">AD58</f>
        <v>0</v>
      </c>
      <c r="AE72" s="10" t="n">
        <f aca="false">AE58</f>
        <v>0</v>
      </c>
      <c r="AF72" s="10" t="n">
        <f aca="false">AF58</f>
        <v>0</v>
      </c>
      <c r="AG72" s="10" t="n">
        <f aca="false">AG58</f>
        <v>0</v>
      </c>
    </row>
    <row r="73" customFormat="false" ht="15" hidden="false" customHeight="true" outlineLevel="0" collapsed="false">
      <c r="B73" s="3" t="s">
        <v>142</v>
      </c>
      <c r="C73" s="10" t="n">
        <f aca="false">SUM(C68:C72)</f>
        <v>3438192</v>
      </c>
      <c r="D73" s="10" t="n">
        <f aca="false">SUM(D68:D72)</f>
        <v>-4755216</v>
      </c>
      <c r="E73" s="10" t="n">
        <f aca="false">SUM(E68:E72)</f>
        <v>-3675228.02758621</v>
      </c>
      <c r="F73" s="10" t="n">
        <f aca="false">SUM(F68:F72)</f>
        <v>3087804.28052808</v>
      </c>
      <c r="G73" s="10" t="n">
        <f aca="false">SUM(G68:G72)</f>
        <v>17806982.5223898</v>
      </c>
      <c r="H73" s="10" t="n">
        <f aca="false">SUM(H68:H72)</f>
        <v>22640300.4538237</v>
      </c>
      <c r="I73" s="10" t="n">
        <f aca="false">SUM(I68:I72)</f>
        <v>27150447.2525859</v>
      </c>
      <c r="J73" s="10" t="n">
        <f aca="false">SUM(J68:J72)</f>
        <v>31622048.2890705</v>
      </c>
      <c r="K73" s="10" t="n">
        <f aca="false">SUM(K68:K72)</f>
        <v>36079483.0248471</v>
      </c>
      <c r="L73" s="10" t="n">
        <f aca="false">SUM(L68:L72)</f>
        <v>40500109.6696871</v>
      </c>
      <c r="M73" s="10" t="n">
        <f aca="false">SUM(M68:M72)</f>
        <v>44857039.8089987</v>
      </c>
      <c r="N73" s="10" t="n">
        <f aca="false">SUM(N68:N72)</f>
        <v>49173774.3300031</v>
      </c>
      <c r="O73" s="10" t="n">
        <f aca="false">SUM(O68:O72)</f>
        <v>53424266.8116092</v>
      </c>
      <c r="P73" s="10" t="n">
        <f aca="false">SUM(P68:P72)</f>
        <v>57577822.6680017</v>
      </c>
      <c r="Q73" s="10" t="n">
        <f aca="false">SUM(Q68:Q72)</f>
        <v>33378402.9482651</v>
      </c>
      <c r="R73" s="10" t="n">
        <f aca="false">SUM(R68:R72)</f>
        <v>34191618.4123914</v>
      </c>
      <c r="S73" s="10" t="n">
        <f aca="false">SUM(S68:S72)</f>
        <v>35009393.2784416</v>
      </c>
      <c r="T73" s="10" t="n">
        <f aca="false">SUM(T68:T72)</f>
        <v>35872133.5643332</v>
      </c>
      <c r="U73" s="10" t="n">
        <f aca="false">SUM(U68:U72)</f>
        <v>36760756.0588016</v>
      </c>
      <c r="V73" s="10" t="n">
        <f aca="false">SUM(V68:V72)</f>
        <v>37655208.312984</v>
      </c>
      <c r="W73" s="10" t="n">
        <f aca="false">SUM(W68:W72)</f>
        <v>38597947.9173655</v>
      </c>
      <c r="X73" s="10" t="n">
        <f aca="false">SUM(X68:X72)</f>
        <v>39568969.7098784</v>
      </c>
      <c r="Y73" s="10" t="n">
        <f aca="false">SUM(Y68:Y72)</f>
        <v>40547251.7953668</v>
      </c>
      <c r="Z73" s="10" t="n">
        <f aca="false">SUM(Z68:Z72)</f>
        <v>41577408.8150438</v>
      </c>
      <c r="AA73" s="10" t="n">
        <f aca="false">SUM(AA68:AA72)</f>
        <v>42638470.545311</v>
      </c>
      <c r="AB73" s="10" t="n">
        <f aca="false">SUM(AB68:AB72)</f>
        <v>43708400.2485264</v>
      </c>
      <c r="AC73" s="10" t="n">
        <f aca="false">SUM(AC68:AC72)</f>
        <v>44834080.6381669</v>
      </c>
      <c r="AD73" s="10" t="n">
        <f aca="false">SUM(AD68:AD72)</f>
        <v>45993531.4394967</v>
      </c>
      <c r="AE73" s="10" t="n">
        <f aca="false">SUM(AE68:AE72)</f>
        <v>47163653.6920664</v>
      </c>
      <c r="AF73" s="10" t="n">
        <f aca="false">SUM(AF68:AF72)</f>
        <v>48393715.0471972</v>
      </c>
      <c r="AG73" s="10" t="n">
        <f aca="false">SUM(AG68:AG72)</f>
        <v>49660678.2429819</v>
      </c>
    </row>
    <row r="74" customFormat="false" ht="15" hidden="false" customHeight="true" outlineLevel="0" collapsed="false">
      <c r="B74" s="3" t="s">
        <v>143</v>
      </c>
      <c r="C74" s="10" t="n">
        <f aca="false">IF(C$4=0,0,-Assumptions!$C$23*MAX(0,C65))</f>
        <v>0</v>
      </c>
      <c r="D74" s="10" t="n">
        <f aca="false">IF(D$4=0,0,-Assumptions!$C$23*MAX(0,D65))</f>
        <v>-3235603.2</v>
      </c>
      <c r="E74" s="10" t="n">
        <f aca="false">IF(E$4=0,0,-Assumptions!$C$23*MAX(0,E65))</f>
        <v>-6262218.0137931</v>
      </c>
      <c r="F74" s="10" t="n">
        <f aca="false">IF(F$4=0,0,-Assumptions!$C$23*MAX(0,F65))</f>
        <v>-11229313.4414045</v>
      </c>
      <c r="G74" s="10" t="n">
        <f aca="false">IF(G$4=0,0,-Assumptions!$C$23*MAX(0,G65))</f>
        <v>-12913973.0632813</v>
      </c>
      <c r="H74" s="10" t="n">
        <f aca="false">IF(H$4=0,0,-Assumptions!$C$23*MAX(0,H65))</f>
        <v>-13830585.395543</v>
      </c>
      <c r="I74" s="10" t="n">
        <f aca="false">IF(I$4=0,0,-Assumptions!$C$23*MAX(0,I65))</f>
        <v>-14461748.5564422</v>
      </c>
      <c r="J74" s="10" t="n">
        <f aca="false">IF(J$4=0,0,-Assumptions!$C$23*MAX(0,J65))</f>
        <v>-15102350.5378184</v>
      </c>
      <c r="K74" s="10" t="n">
        <f aca="false">IF(K$4=0,0,-Assumptions!$C$23*MAX(0,K65))</f>
        <v>-15782648.2343377</v>
      </c>
      <c r="L74" s="10" t="n">
        <f aca="false">IF(L$4=0,0,-Assumptions!$C$23*MAX(0,L65))</f>
        <v>-16489267.9564706</v>
      </c>
      <c r="M74" s="10" t="n">
        <f aca="false">IF(M$4=0,0,-Assumptions!$C$23*MAX(0,M65))</f>
        <v>-17208178.532563</v>
      </c>
      <c r="N74" s="10" t="n">
        <f aca="false">IF(N$4=0,0,-Assumptions!$C$23*MAX(0,N65))</f>
        <v>-17971306.1560174</v>
      </c>
      <c r="O74" s="10" t="n">
        <f aca="false">IF(O$4=0,0,-Assumptions!$C$23*MAX(0,O65))</f>
        <v>-18764776.4045488</v>
      </c>
      <c r="P74" s="10" t="n">
        <f aca="false">IF(P$4=0,0,-Assumptions!$C$23*MAX(0,P65))</f>
        <v>-19574036.8866196</v>
      </c>
      <c r="Q74" s="10" t="n">
        <f aca="false">IF(Q$4=0,0,-Assumptions!$C$23*MAX(0,Q65))</f>
        <v>-20432803.7904625</v>
      </c>
      <c r="R74" s="10" t="n">
        <f aca="false">IF(R$4=0,0,-Assumptions!$C$23*MAX(0,R65))</f>
        <v>-21124036.9349699</v>
      </c>
      <c r="S74" s="10" t="n">
        <f aca="false">IF(S$4=0,0,-Assumptions!$C$23*MAX(0,S65))</f>
        <v>-21819145.5711125</v>
      </c>
      <c r="T74" s="10" t="n">
        <f aca="false">IF(T$4=0,0,-Assumptions!$C$23*MAX(0,T65))</f>
        <v>-22552474.8141204</v>
      </c>
      <c r="U74" s="10" t="n">
        <f aca="false">IF(U$4=0,0,-Assumptions!$C$23*MAX(0,U65))</f>
        <v>-23307803.9344185</v>
      </c>
      <c r="V74" s="10" t="n">
        <f aca="false">IF(V$4=0,0,-Assumptions!$C$23*MAX(0,V65))</f>
        <v>-24068088.3504735</v>
      </c>
      <c r="W74" s="10" t="n">
        <f aca="false">IF(W$4=0,0,-Assumptions!$C$23*MAX(0,W65))</f>
        <v>-24869417.0141978</v>
      </c>
      <c r="X74" s="10" t="n">
        <f aca="false">IF(X$4=0,0,-Assumptions!$C$23*MAX(0,X65))</f>
        <v>-25694785.5378338</v>
      </c>
      <c r="Y74" s="10" t="n">
        <f aca="false">IF(Y$4=0,0,-Assumptions!$C$23*MAX(0,Y65))</f>
        <v>-26526325.3104989</v>
      </c>
      <c r="Z74" s="10" t="n">
        <f aca="false">IF(Z$4=0,0,-Assumptions!$C$23*MAX(0,Z65))</f>
        <v>-27401958.7772243</v>
      </c>
      <c r="AA74" s="10" t="n">
        <f aca="false">IF(AA$4=0,0,-Assumptions!$C$23*MAX(0,AA65))</f>
        <v>-28303861.2479515</v>
      </c>
      <c r="AB74" s="10" t="n">
        <f aca="false">IF(AB$4=0,0,-Assumptions!$C$23*MAX(0,AB65))</f>
        <v>-29213301.4956846</v>
      </c>
      <c r="AC74" s="10" t="n">
        <f aca="false">IF(AC$4=0,0,-Assumptions!$C$23*MAX(0,AC65))</f>
        <v>-30170129.826879</v>
      </c>
      <c r="AD74" s="10" t="n">
        <f aca="false">IF(AD$4=0,0,-Assumptions!$C$23*MAX(0,AD65))</f>
        <v>-31155663.0080094</v>
      </c>
      <c r="AE74" s="10" t="n">
        <f aca="false">IF(AE$4=0,0,-Assumptions!$C$23*MAX(0,AE65))</f>
        <v>-32150266.9226936</v>
      </c>
      <c r="AF74" s="10" t="n">
        <f aca="false">IF(AF$4=0,0,-Assumptions!$C$23*MAX(0,AF65))</f>
        <v>-33195819.0745547</v>
      </c>
      <c r="AG74" s="10" t="n">
        <f aca="false">IF(AG$4=0,0,-Assumptions!$C$23*MAX(0,AG65))</f>
        <v>-34272737.7909717</v>
      </c>
    </row>
    <row r="75" customFormat="false" ht="15" hidden="false" customHeight="true" outlineLevel="0" collapsed="false">
      <c r="B75" s="3" t="s">
        <v>144</v>
      </c>
      <c r="C75" s="10" t="n">
        <f aca="false">IF(AND(C$4&gt;=Assumptions!$C$13,C60&lt;=0.5),-MAX(0,C73+C74-Assumptions!$C$29),0)</f>
        <v>0</v>
      </c>
      <c r="D75" s="10" t="n">
        <f aca="false">IF(AND(D$4&gt;=Assumptions!$C$13,D60&lt;=0.5),-MAX(0,D73+D74-Assumptions!$C$29),0)</f>
        <v>0</v>
      </c>
      <c r="E75" s="10" t="n">
        <f aca="false">IF(AND(E$4&gt;=Assumptions!$C$13,E60&lt;=0.5),-MAX(0,E73+E74-Assumptions!$C$29),0)</f>
        <v>0</v>
      </c>
      <c r="F75" s="10" t="n">
        <f aca="false">IF(AND(F$4&gt;=Assumptions!$C$13,F60&lt;=0.5),-MAX(0,F73+F74-Assumptions!$C$29),0)</f>
        <v>0</v>
      </c>
      <c r="G75" s="10" t="n">
        <f aca="false">IF(AND(G$4&gt;=Assumptions!$C$13,G60&lt;=0.5),-MAX(0,G73+G74-Assumptions!$C$29),0)</f>
        <v>0</v>
      </c>
      <c r="H75" s="10" t="n">
        <f aca="false">IF(AND(H$4&gt;=Assumptions!$C$13,H60&lt;=0.5),-MAX(0,H73+H74-Assumptions!$C$29),0)</f>
        <v>0</v>
      </c>
      <c r="I75" s="10" t="n">
        <f aca="false">IF(AND(I$4&gt;=Assumptions!$C$13,I60&lt;=0.5),-MAX(0,I73+I74-Assumptions!$C$29),0)</f>
        <v>0</v>
      </c>
      <c r="J75" s="10" t="n">
        <f aca="false">IF(AND(J$4&gt;=Assumptions!$C$13,J60&lt;=0.5),-MAX(0,J73+J74-Assumptions!$C$29),0)</f>
        <v>0</v>
      </c>
      <c r="K75" s="10" t="n">
        <f aca="false">IF(AND(K$4&gt;=Assumptions!$C$13,K60&lt;=0.5),-MAX(0,K73+K74-Assumptions!$C$29),0)</f>
        <v>0</v>
      </c>
      <c r="L75" s="10" t="n">
        <f aca="false">IF(AND(L$4&gt;=Assumptions!$C$13,L60&lt;=0.5),-MAX(0,L73+L74-Assumptions!$C$29),0)</f>
        <v>0</v>
      </c>
      <c r="M75" s="10" t="n">
        <f aca="false">IF(AND(M$4&gt;=Assumptions!$C$13,M60&lt;=0.5),-MAX(0,M73+M74-Assumptions!$C$29),0)</f>
        <v>0</v>
      </c>
      <c r="N75" s="10" t="n">
        <f aca="false">IF(AND(N$4&gt;=Assumptions!$C$13,N60&lt;=0.5),-MAX(0,N73+N74-Assumptions!$C$29),0)</f>
        <v>0</v>
      </c>
      <c r="O75" s="10" t="n">
        <f aca="false">IF(AND(O$4&gt;=Assumptions!$C$13,O60&lt;=0.5),-MAX(0,O73+O74-Assumptions!$C$29),0)</f>
        <v>0</v>
      </c>
      <c r="P75" s="10" t="n">
        <f aca="false">IF(AND(P$4&gt;=Assumptions!$C$13,P60&lt;=0.5),-MAX(0,P73+P74-Assumptions!$C$29),0)</f>
        <v>-32003785.7813822</v>
      </c>
      <c r="Q75" s="10" t="n">
        <f aca="false">IF(AND(Q$4&gt;=Assumptions!$C$13,Q60&lt;=0.5),-MAX(0,Q73+Q74-Assumptions!$C$29),0)</f>
        <v>-6945599.15780262</v>
      </c>
      <c r="R75" s="10" t="n">
        <f aca="false">IF(AND(R$4&gt;=Assumptions!$C$13,R60&lt;=0.5),-MAX(0,R73+R74-Assumptions!$C$29),0)</f>
        <v>-7067581.47742157</v>
      </c>
      <c r="S75" s="10" t="n">
        <f aca="false">IF(AND(S$4&gt;=Assumptions!$C$13,S60&lt;=0.5),-MAX(0,S73+S74-Assumptions!$C$29),0)</f>
        <v>-7190247.70732909</v>
      </c>
      <c r="T75" s="10" t="n">
        <f aca="false">IF(AND(T$4&gt;=Assumptions!$C$13,T60&lt;=0.5),-MAX(0,T73+T74-Assumptions!$C$29),0)</f>
        <v>-7319658.75021284</v>
      </c>
      <c r="U75" s="10" t="n">
        <f aca="false">IF(AND(U$4&gt;=Assumptions!$C$13,U60&lt;=0.5),-MAX(0,U73+U74-Assumptions!$C$29),0)</f>
        <v>-7452952.12438309</v>
      </c>
      <c r="V75" s="10" t="n">
        <f aca="false">IF(AND(V$4&gt;=Assumptions!$C$13,V60&lt;=0.5),-MAX(0,V73+V74-Assumptions!$C$29),0)</f>
        <v>-7587119.96251046</v>
      </c>
      <c r="W75" s="10" t="n">
        <f aca="false">IF(AND(W$4&gt;=Assumptions!$C$13,W60&lt;=0.5),-MAX(0,W73+W74-Assumptions!$C$29),0)</f>
        <v>-7728530.90316767</v>
      </c>
      <c r="X75" s="10" t="n">
        <f aca="false">IF(AND(X$4&gt;=Assumptions!$C$13,X60&lt;=0.5),-MAX(0,X73+X74-Assumptions!$C$29),0)</f>
        <v>-7874184.17204462</v>
      </c>
      <c r="Y75" s="10" t="n">
        <f aca="false">IF(AND(Y$4&gt;=Assumptions!$C$13,Y60&lt;=0.5),-MAX(0,Y73+Y74-Assumptions!$C$29),0)</f>
        <v>-8020926.48486786</v>
      </c>
      <c r="Z75" s="10" t="n">
        <f aca="false">IF(AND(Z$4&gt;=Assumptions!$C$13,Z60&lt;=0.5),-MAX(0,Z73+Z74-Assumptions!$C$29),0)</f>
        <v>-8175450.03781942</v>
      </c>
      <c r="AA75" s="10" t="n">
        <f aca="false">IF(AND(AA$4&gt;=Assumptions!$C$13,AA60&lt;=0.5),-MAX(0,AA73+AA74-Assumptions!$C$29),0)</f>
        <v>-8334609.29735951</v>
      </c>
      <c r="AB75" s="10" t="n">
        <f aca="false">IF(AND(AB$4&gt;=Assumptions!$C$13,AB60&lt;=0.5),-MAX(0,AB73+AB74-Assumptions!$C$29),0)</f>
        <v>-8495098.7528418</v>
      </c>
      <c r="AC75" s="10" t="n">
        <f aca="false">IF(AND(AC$4&gt;=Assumptions!$C$13,AC60&lt;=0.5),-MAX(0,AC73+AC74-Assumptions!$C$29),0)</f>
        <v>-8663950.81128789</v>
      </c>
      <c r="AD75" s="10" t="n">
        <f aca="false">IF(AND(AD$4&gt;=Assumptions!$C$13,AD60&lt;=0.5),-MAX(0,AD73+AD74-Assumptions!$C$29),0)</f>
        <v>-8837868.43148736</v>
      </c>
      <c r="AE75" s="10" t="n">
        <f aca="false">IF(AND(AE$4&gt;=Assumptions!$C$13,AE60&lt;=0.5),-MAX(0,AE73+AE74-Assumptions!$C$29),0)</f>
        <v>-9013386.76937281</v>
      </c>
      <c r="AF75" s="10" t="n">
        <f aca="false">IF(AND(AF$4&gt;=Assumptions!$C$13,AF60&lt;=0.5),-MAX(0,AF73+AF74-Assumptions!$C$29),0)</f>
        <v>-9197895.97264243</v>
      </c>
      <c r="AG75" s="10" t="n">
        <f aca="false">IF(AND(AG$4&gt;=Assumptions!$C$13,AG60&lt;=0.5),-MAX(0,AG73+AG74-Assumptions!$C$29),0)</f>
        <v>-9387940.45201013</v>
      </c>
    </row>
    <row r="76" customFormat="false" ht="15" hidden="false" customHeight="true" outlineLevel="0" collapsed="false">
      <c r="B76" s="8" t="s">
        <v>145</v>
      </c>
      <c r="C76" s="19" t="n">
        <f aca="false">C74+C75</f>
        <v>0</v>
      </c>
      <c r="D76" s="19" t="n">
        <f aca="false">D74+D75</f>
        <v>-3235603.2</v>
      </c>
      <c r="E76" s="19" t="n">
        <f aca="false">E74+E75</f>
        <v>-6262218.0137931</v>
      </c>
      <c r="F76" s="19" t="n">
        <f aca="false">F74+F75</f>
        <v>-11229313.4414045</v>
      </c>
      <c r="G76" s="19" t="n">
        <f aca="false">G74+G75</f>
        <v>-12913973.0632813</v>
      </c>
      <c r="H76" s="19" t="n">
        <f aca="false">H74+H75</f>
        <v>-13830585.395543</v>
      </c>
      <c r="I76" s="19" t="n">
        <f aca="false">I74+I75</f>
        <v>-14461748.5564422</v>
      </c>
      <c r="J76" s="19" t="n">
        <f aca="false">J74+J75</f>
        <v>-15102350.5378184</v>
      </c>
      <c r="K76" s="19" t="n">
        <f aca="false">K74+K75</f>
        <v>-15782648.2343377</v>
      </c>
      <c r="L76" s="19" t="n">
        <f aca="false">L74+L75</f>
        <v>-16489267.9564706</v>
      </c>
      <c r="M76" s="19" t="n">
        <f aca="false">M74+M75</f>
        <v>-17208178.532563</v>
      </c>
      <c r="N76" s="19" t="n">
        <f aca="false">N74+N75</f>
        <v>-17971306.1560174</v>
      </c>
      <c r="O76" s="19" t="n">
        <f aca="false">O74+O75</f>
        <v>-18764776.4045488</v>
      </c>
      <c r="P76" s="19" t="n">
        <f aca="false">P74+P75</f>
        <v>-51577822.6680017</v>
      </c>
      <c r="Q76" s="19" t="n">
        <f aca="false">Q74+Q75</f>
        <v>-27378402.9482651</v>
      </c>
      <c r="R76" s="19" t="n">
        <f aca="false">R74+R75</f>
        <v>-28191618.4123914</v>
      </c>
      <c r="S76" s="19" t="n">
        <f aca="false">S74+S75</f>
        <v>-29009393.2784416</v>
      </c>
      <c r="T76" s="19" t="n">
        <f aca="false">T74+T75</f>
        <v>-29872133.5643332</v>
      </c>
      <c r="U76" s="19" t="n">
        <f aca="false">U74+U75</f>
        <v>-30760756.0588016</v>
      </c>
      <c r="V76" s="19" t="n">
        <f aca="false">V74+V75</f>
        <v>-31655208.312984</v>
      </c>
      <c r="W76" s="19" t="n">
        <f aca="false">W74+W75</f>
        <v>-32597947.9173655</v>
      </c>
      <c r="X76" s="19" t="n">
        <f aca="false">X74+X75</f>
        <v>-33568969.7098784</v>
      </c>
      <c r="Y76" s="19" t="n">
        <f aca="false">Y74+Y75</f>
        <v>-34547251.7953668</v>
      </c>
      <c r="Z76" s="19" t="n">
        <f aca="false">Z74+Z75</f>
        <v>-35577408.8150438</v>
      </c>
      <c r="AA76" s="19" t="n">
        <f aca="false">AA74+AA75</f>
        <v>-36638470.545311</v>
      </c>
      <c r="AB76" s="19" t="n">
        <f aca="false">AB74+AB75</f>
        <v>-37708400.2485264</v>
      </c>
      <c r="AC76" s="19" t="n">
        <f aca="false">AC74+AC75</f>
        <v>-38834080.6381669</v>
      </c>
      <c r="AD76" s="19" t="n">
        <f aca="false">AD74+AD75</f>
        <v>-39993531.4394967</v>
      </c>
      <c r="AE76" s="19" t="n">
        <f aca="false">AE74+AE75</f>
        <v>-41163653.6920664</v>
      </c>
      <c r="AF76" s="19" t="n">
        <f aca="false">AF74+AF75</f>
        <v>-42393715.0471972</v>
      </c>
      <c r="AG76" s="19" t="n">
        <f aca="false">AG74+AG75</f>
        <v>-43660678.2429819</v>
      </c>
    </row>
    <row r="77" customFormat="false" ht="15" hidden="false" customHeight="true" outlineLevel="0" collapsed="false">
      <c r="B77" s="3" t="s">
        <v>146</v>
      </c>
      <c r="C77" s="10" t="n">
        <f aca="false">IF(AND(C$4&gt;=1,C$4&lt;=10),INDEX(Assumptions!$C$68:$L$68,1,MAX(C$4,1)),0)</f>
        <v>0</v>
      </c>
      <c r="D77" s="10" t="n">
        <f aca="false">IF(AND(D$4&gt;=1,D$4&lt;=10),INDEX(Assumptions!$C$68:$L$68,1,MAX(D$4,1)),0)</f>
        <v>9000000</v>
      </c>
      <c r="E77" s="10" t="n">
        <f aca="false">IF(AND(E$4&gt;=1,E$4&lt;=10),INDEX(Assumptions!$C$68:$L$68,1,MAX(E$4,1)),0)</f>
        <v>10000000</v>
      </c>
      <c r="F77" s="10" t="n">
        <f aca="false">IF(AND(F$4&gt;=1,F$4&lt;=10),INDEX(Assumptions!$C$68:$L$68,1,MAX(F$4,1)),0)</f>
        <v>6000000</v>
      </c>
      <c r="G77" s="10" t="n">
        <f aca="false">IF(AND(G$4&gt;=1,G$4&lt;=10),INDEX(Assumptions!$C$68:$L$68,1,MAX(G$4,1)),0)</f>
        <v>0</v>
      </c>
      <c r="H77" s="10" t="n">
        <f aca="false">IF(AND(H$4&gt;=1,H$4&lt;=10),INDEX(Assumptions!$C$68:$L$68,1,MAX(H$4,1)),0)</f>
        <v>0</v>
      </c>
      <c r="I77" s="10" t="n">
        <f aca="false">IF(AND(I$4&gt;=1,I$4&lt;=10),INDEX(Assumptions!$C$68:$L$68,1,MAX(I$4,1)),0)</f>
        <v>0</v>
      </c>
      <c r="J77" s="10" t="n">
        <f aca="false">IF(AND(J$4&gt;=1,J$4&lt;=10),INDEX(Assumptions!$C$68:$L$68,1,MAX(J$4,1)),0)</f>
        <v>0</v>
      </c>
      <c r="K77" s="10" t="n">
        <f aca="false">IF(AND(K$4&gt;=1,K$4&lt;=10),INDEX(Assumptions!$C$68:$L$68,1,MAX(K$4,1)),0)</f>
        <v>0</v>
      </c>
      <c r="L77" s="10" t="n">
        <f aca="false">IF(AND(L$4&gt;=1,L$4&lt;=10),INDEX(Assumptions!$C$68:$L$68,1,MAX(L$4,1)),0)</f>
        <v>0</v>
      </c>
      <c r="M77" s="10" t="n">
        <f aca="false">IF(AND(M$4&gt;=1,M$4&lt;=10),INDEX(Assumptions!$C$68:$L$68,1,MAX(M$4,1)),0)</f>
        <v>0</v>
      </c>
      <c r="N77" s="10" t="n">
        <f aca="false">IF(AND(N$4&gt;=1,N$4&lt;=10),INDEX(Assumptions!$C$68:$L$68,1,MAX(N$4,1)),0)</f>
        <v>0</v>
      </c>
      <c r="O77" s="10" t="n">
        <f aca="false">IF(AND(O$4&gt;=1,O$4&lt;=10),INDEX(Assumptions!$C$68:$L$68,1,MAX(O$4,1)),0)</f>
        <v>0</v>
      </c>
      <c r="P77" s="10" t="n">
        <f aca="false">IF(AND(P$4&gt;=1,P$4&lt;=10),INDEX(Assumptions!$C$68:$L$68,1,MAX(P$4,1)),0)</f>
        <v>0</v>
      </c>
      <c r="Q77" s="10" t="n">
        <f aca="false">IF(AND(Q$4&gt;=1,Q$4&lt;=10),INDEX(Assumptions!$C$68:$L$68,1,MAX(Q$4,1)),0)</f>
        <v>0</v>
      </c>
      <c r="R77" s="10" t="n">
        <f aca="false">IF(AND(R$4&gt;=1,R$4&lt;=10),INDEX(Assumptions!$C$68:$L$68,1,MAX(R$4,1)),0)</f>
        <v>0</v>
      </c>
      <c r="S77" s="10" t="n">
        <f aca="false">IF(AND(S$4&gt;=1,S$4&lt;=10),INDEX(Assumptions!$C$68:$L$68,1,MAX(S$4,1)),0)</f>
        <v>0</v>
      </c>
      <c r="T77" s="10" t="n">
        <f aca="false">IF(AND(T$4&gt;=1,T$4&lt;=10),INDEX(Assumptions!$C$68:$L$68,1,MAX(T$4,1)),0)</f>
        <v>0</v>
      </c>
      <c r="U77" s="10" t="n">
        <f aca="false">IF(AND(U$4&gt;=1,U$4&lt;=10),INDEX(Assumptions!$C$68:$L$68,1,MAX(U$4,1)),0)</f>
        <v>0</v>
      </c>
      <c r="V77" s="10" t="n">
        <f aca="false">IF(AND(V$4&gt;=1,V$4&lt;=10),INDEX(Assumptions!$C$68:$L$68,1,MAX(V$4,1)),0)</f>
        <v>0</v>
      </c>
      <c r="W77" s="10" t="n">
        <f aca="false">IF(AND(W$4&gt;=1,W$4&lt;=10),INDEX(Assumptions!$C$68:$L$68,1,MAX(W$4,1)),0)</f>
        <v>0</v>
      </c>
      <c r="X77" s="10" t="n">
        <f aca="false">IF(AND(X$4&gt;=1,X$4&lt;=10),INDEX(Assumptions!$C$68:$L$68,1,MAX(X$4,1)),0)</f>
        <v>0</v>
      </c>
      <c r="Y77" s="10" t="n">
        <f aca="false">IF(AND(Y$4&gt;=1,Y$4&lt;=10),INDEX(Assumptions!$C$68:$L$68,1,MAX(Y$4,1)),0)</f>
        <v>0</v>
      </c>
      <c r="Z77" s="10" t="n">
        <f aca="false">IF(AND(Z$4&gt;=1,Z$4&lt;=10),INDEX(Assumptions!$C$68:$L$68,1,MAX(Z$4,1)),0)</f>
        <v>0</v>
      </c>
      <c r="AA77" s="10" t="n">
        <f aca="false">IF(AND(AA$4&gt;=1,AA$4&lt;=10),INDEX(Assumptions!$C$68:$L$68,1,MAX(AA$4,1)),0)</f>
        <v>0</v>
      </c>
      <c r="AB77" s="10" t="n">
        <f aca="false">IF(AND(AB$4&gt;=1,AB$4&lt;=10),INDEX(Assumptions!$C$68:$L$68,1,MAX(AB$4,1)),0)</f>
        <v>0</v>
      </c>
      <c r="AC77" s="10" t="n">
        <f aca="false">IF(AND(AC$4&gt;=1,AC$4&lt;=10),INDEX(Assumptions!$C$68:$L$68,1,MAX(AC$4,1)),0)</f>
        <v>0</v>
      </c>
      <c r="AD77" s="10" t="n">
        <f aca="false">IF(AND(AD$4&gt;=1,AD$4&lt;=10),INDEX(Assumptions!$C$68:$L$68,1,MAX(AD$4,1)),0)</f>
        <v>0</v>
      </c>
      <c r="AE77" s="10" t="n">
        <f aca="false">IF(AND(AE$4&gt;=1,AE$4&lt;=10),INDEX(Assumptions!$C$68:$L$68,1,MAX(AE$4,1)),0)</f>
        <v>0</v>
      </c>
      <c r="AF77" s="10" t="n">
        <f aca="false">IF(AND(AF$4&gt;=1,AF$4&lt;=10),INDEX(Assumptions!$C$68:$L$68,1,MAX(AF$4,1)),0)</f>
        <v>0</v>
      </c>
      <c r="AG77" s="10" t="n">
        <f aca="false">IF(AND(AG$4&gt;=1,AG$4&lt;=10),INDEX(Assumptions!$C$68:$L$68,1,MAX(AG$4,1)),0)</f>
        <v>0</v>
      </c>
    </row>
    <row r="78" customFormat="false" ht="15" hidden="false" customHeight="true" outlineLevel="0" collapsed="false">
      <c r="B78" s="8" t="s">
        <v>147</v>
      </c>
      <c r="C78" s="19" t="n">
        <f aca="false">0</f>
        <v>0</v>
      </c>
      <c r="D78" s="19" t="n">
        <f aca="false">MAX(0,Assumptions!$C$24-(D73+D76+D77))</f>
        <v>0</v>
      </c>
      <c r="E78" s="19" t="n">
        <f aca="false">MAX(0,Assumptions!$C$24-(E73+E76+E77))</f>
        <v>937446.04137931</v>
      </c>
      <c r="F78" s="19" t="n">
        <f aca="false">MAX(0,Assumptions!$C$24-(F73+F76+F77))</f>
        <v>3141509.16087645</v>
      </c>
      <c r="G78" s="19" t="n">
        <f aca="false">MAX(0,Assumptions!$C$24-(G73+G76+G77))</f>
        <v>0</v>
      </c>
      <c r="H78" s="19" t="n">
        <f aca="false">MAX(0,Assumptions!$C$24-(H73+H76+H77))</f>
        <v>0</v>
      </c>
      <c r="I78" s="19" t="n">
        <f aca="false">MAX(0,Assumptions!$C$24-(I73+I76+I77))</f>
        <v>0</v>
      </c>
      <c r="J78" s="19" t="n">
        <f aca="false">MAX(0,Assumptions!$C$24-(J73+J76+J77))</f>
        <v>0</v>
      </c>
      <c r="K78" s="19" t="n">
        <f aca="false">MAX(0,Assumptions!$C$24-(K73+K76+K77))</f>
        <v>0</v>
      </c>
      <c r="L78" s="19" t="n">
        <f aca="false">MAX(0,Assumptions!$C$24-(L73+L76+L77))</f>
        <v>0</v>
      </c>
      <c r="M78" s="19" t="n">
        <f aca="false">MAX(0,Assumptions!$C$24-(M73+M76+M77))</f>
        <v>0</v>
      </c>
      <c r="N78" s="19" t="n">
        <f aca="false">MAX(0,Assumptions!$C$24-(N73+N76+N77))</f>
        <v>0</v>
      </c>
      <c r="O78" s="19" t="n">
        <f aca="false">MAX(0,Assumptions!$C$24-(O73+O76+O77))</f>
        <v>0</v>
      </c>
      <c r="P78" s="19" t="n">
        <f aca="false">MAX(0,Assumptions!$C$24-(P73+P76+P77))</f>
        <v>0</v>
      </c>
      <c r="Q78" s="19" t="n">
        <f aca="false">MAX(0,Assumptions!$C$24-(Q73+Q76+Q77))</f>
        <v>0</v>
      </c>
      <c r="R78" s="19" t="n">
        <f aca="false">MAX(0,Assumptions!$C$24-(R73+R76+R77))</f>
        <v>0</v>
      </c>
      <c r="S78" s="19" t="n">
        <f aca="false">MAX(0,Assumptions!$C$24-(S73+S76+S77))</f>
        <v>0</v>
      </c>
      <c r="T78" s="19" t="n">
        <f aca="false">MAX(0,Assumptions!$C$24-(T73+T76+T77))</f>
        <v>0</v>
      </c>
      <c r="U78" s="19" t="n">
        <f aca="false">MAX(0,Assumptions!$C$24-(U73+U76+U77))</f>
        <v>0</v>
      </c>
      <c r="V78" s="19" t="n">
        <f aca="false">MAX(0,Assumptions!$C$24-(V73+V76+V77))</f>
        <v>0</v>
      </c>
      <c r="W78" s="19" t="n">
        <f aca="false">MAX(0,Assumptions!$C$24-(W73+W76+W77))</f>
        <v>0</v>
      </c>
      <c r="X78" s="19" t="n">
        <f aca="false">MAX(0,Assumptions!$C$24-(X73+X76+X77))</f>
        <v>0</v>
      </c>
      <c r="Y78" s="19" t="n">
        <f aca="false">MAX(0,Assumptions!$C$24-(Y73+Y76+Y77))</f>
        <v>0</v>
      </c>
      <c r="Z78" s="19" t="n">
        <f aca="false">MAX(0,Assumptions!$C$24-(Z73+Z76+Z77))</f>
        <v>0</v>
      </c>
      <c r="AA78" s="19" t="n">
        <f aca="false">MAX(0,Assumptions!$C$24-(AA73+AA76+AA77))</f>
        <v>0</v>
      </c>
      <c r="AB78" s="19" t="n">
        <f aca="false">MAX(0,Assumptions!$C$24-(AB73+AB76+AB77))</f>
        <v>0</v>
      </c>
      <c r="AC78" s="19" t="n">
        <f aca="false">MAX(0,Assumptions!$C$24-(AC73+AC76+AC77))</f>
        <v>0</v>
      </c>
      <c r="AD78" s="19" t="n">
        <f aca="false">MAX(0,Assumptions!$C$24-(AD73+AD76+AD77))</f>
        <v>0</v>
      </c>
      <c r="AE78" s="19" t="n">
        <f aca="false">MAX(0,Assumptions!$C$24-(AE73+AE76+AE77))</f>
        <v>0</v>
      </c>
      <c r="AF78" s="19" t="n">
        <f aca="false">MAX(0,Assumptions!$C$24-(AF73+AF76+AF77))</f>
        <v>0</v>
      </c>
      <c r="AG78" s="19" t="n">
        <f aca="false">MAX(0,Assumptions!$C$24-(AG73+AG76+AG77))</f>
        <v>0</v>
      </c>
    </row>
    <row r="79" customFormat="false" ht="15" hidden="false" customHeight="true" outlineLevel="0" collapsed="false">
      <c r="B79" s="8" t="s">
        <v>148</v>
      </c>
      <c r="C79" s="19" t="n">
        <f aca="false">C73+C76+C77+C78</f>
        <v>3438192</v>
      </c>
      <c r="D79" s="19" t="n">
        <f aca="false">D73+D76+D77+D78</f>
        <v>1009180.8</v>
      </c>
      <c r="E79" s="19" t="n">
        <f aca="false">E73+E76+E77+E78</f>
        <v>1000000</v>
      </c>
      <c r="F79" s="19" t="n">
        <f aca="false">F73+F76+F77+F78</f>
        <v>1000000</v>
      </c>
      <c r="G79" s="19" t="n">
        <f aca="false">G73+G76+G77+G78</f>
        <v>4893009.45910847</v>
      </c>
      <c r="H79" s="19" t="n">
        <f aca="false">H73+H76+H77+H78</f>
        <v>8809715.05828073</v>
      </c>
      <c r="I79" s="19" t="n">
        <f aca="false">I73+I76+I77+I78</f>
        <v>12688698.6961437</v>
      </c>
      <c r="J79" s="19" t="n">
        <f aca="false">J73+J76+J77+J78</f>
        <v>16519697.7512522</v>
      </c>
      <c r="K79" s="19" t="n">
        <f aca="false">K73+K76+K77+K78</f>
        <v>20296834.7905094</v>
      </c>
      <c r="L79" s="19" t="n">
        <f aca="false">L73+L76+L77+L78</f>
        <v>24010841.7132165</v>
      </c>
      <c r="M79" s="19" t="n">
        <f aca="false">M73+M76+M77+M78</f>
        <v>27648861.2764357</v>
      </c>
      <c r="N79" s="19" t="n">
        <f aca="false">N73+N76+N77+N78</f>
        <v>31202468.1739857</v>
      </c>
      <c r="O79" s="19" t="n">
        <f aca="false">O73+O76+O77+O78</f>
        <v>34659490.4070604</v>
      </c>
      <c r="P79" s="19" t="n">
        <f aca="false">P73+P76+P77+P78</f>
        <v>6000000</v>
      </c>
      <c r="Q79" s="19" t="n">
        <f aca="false">Q73+Q76+Q77+Q78</f>
        <v>6000000</v>
      </c>
      <c r="R79" s="19" t="n">
        <f aca="false">R73+R76+R77+R78</f>
        <v>6000000</v>
      </c>
      <c r="S79" s="19" t="n">
        <f aca="false">S73+S76+S77+S78</f>
        <v>6000000</v>
      </c>
      <c r="T79" s="19" t="n">
        <f aca="false">T73+T76+T77+T78</f>
        <v>6000000</v>
      </c>
      <c r="U79" s="19" t="n">
        <f aca="false">U73+U76+U77+U78</f>
        <v>6000000</v>
      </c>
      <c r="V79" s="19" t="n">
        <f aca="false">V73+V76+V77+V78</f>
        <v>6000000</v>
      </c>
      <c r="W79" s="19" t="n">
        <f aca="false">W73+W76+W77+W78</f>
        <v>6000000</v>
      </c>
      <c r="X79" s="19" t="n">
        <f aca="false">X73+X76+X77+X78</f>
        <v>6000000</v>
      </c>
      <c r="Y79" s="19" t="n">
        <f aca="false">Y73+Y76+Y77+Y78</f>
        <v>6000000</v>
      </c>
      <c r="Z79" s="19" t="n">
        <f aca="false">Z73+Z76+Z77+Z78</f>
        <v>6000000</v>
      </c>
      <c r="AA79" s="19" t="n">
        <f aca="false">AA73+AA76+AA77+AA78</f>
        <v>6000000</v>
      </c>
      <c r="AB79" s="19" t="n">
        <f aca="false">AB73+AB76+AB77+AB78</f>
        <v>6000000</v>
      </c>
      <c r="AC79" s="19" t="n">
        <f aca="false">AC73+AC76+AC77+AC78</f>
        <v>6000000</v>
      </c>
      <c r="AD79" s="19" t="n">
        <f aca="false">AD73+AD76+AD77+AD78</f>
        <v>6000000</v>
      </c>
      <c r="AE79" s="19" t="n">
        <f aca="false">AE73+AE76+AE77+AE78</f>
        <v>6000000</v>
      </c>
      <c r="AF79" s="19" t="n">
        <f aca="false">AF73+AF76+AF77+AF78</f>
        <v>6000000</v>
      </c>
      <c r="AG79" s="19" t="n">
        <f aca="false">AG73+AG76+AG77+AG78</f>
        <v>6000000</v>
      </c>
    </row>
    <row r="80" customFormat="false" ht="15" hidden="false" customHeight="true" outlineLevel="0" collapsed="false">
      <c r="B80" s="3" t="s">
        <v>149</v>
      </c>
      <c r="C80" s="18" t="n">
        <f aca="false">IF(C65&lt;=0,0,-C76/C65)</f>
        <v>-0</v>
      </c>
      <c r="D80" s="18" t="n">
        <f aca="false">IF(D65&lt;=0,0,-D76/D65)</f>
        <v>0.85</v>
      </c>
      <c r="E80" s="18" t="n">
        <f aca="false">IF(E65&lt;=0,0,-E76/E65)</f>
        <v>0.85</v>
      </c>
      <c r="F80" s="18" t="n">
        <f aca="false">IF(F65&lt;=0,0,-F76/F65)</f>
        <v>0.85</v>
      </c>
      <c r="G80" s="18" t="n">
        <f aca="false">IF(G65&lt;=0,0,-G76/G65)</f>
        <v>0.85</v>
      </c>
      <c r="H80" s="18" t="n">
        <f aca="false">IF(H65&lt;=0,0,-H76/H65)</f>
        <v>0.85</v>
      </c>
      <c r="I80" s="18" t="n">
        <f aca="false">IF(I65&lt;=0,0,-I76/I65)</f>
        <v>0.85</v>
      </c>
      <c r="J80" s="18" t="n">
        <f aca="false">IF(J65&lt;=0,0,-J76/J65)</f>
        <v>0.85</v>
      </c>
      <c r="K80" s="18" t="n">
        <f aca="false">IF(K65&lt;=0,0,-K76/K65)</f>
        <v>0.85</v>
      </c>
      <c r="L80" s="18" t="n">
        <f aca="false">IF(L65&lt;=0,0,-L76/L65)</f>
        <v>0.85</v>
      </c>
      <c r="M80" s="18" t="n">
        <f aca="false">IF(M65&lt;=0,0,-M76/M65)</f>
        <v>0.85</v>
      </c>
      <c r="N80" s="18" t="n">
        <f aca="false">IF(N65&lt;=0,0,-N76/N65)</f>
        <v>0.85</v>
      </c>
      <c r="O80" s="18" t="n">
        <f aca="false">IF(O65&lt;=0,0,-O76/O65)</f>
        <v>0.85</v>
      </c>
      <c r="P80" s="18" t="n">
        <f aca="false">IF(P65&lt;=0,0,-P76/P65)</f>
        <v>2.23976022533044</v>
      </c>
      <c r="Q80" s="18" t="n">
        <f aca="false">IF(Q65&lt;=0,0,-Q76/Q65)</f>
        <v>1.13893534850503</v>
      </c>
      <c r="R80" s="18" t="n">
        <f aca="false">IF(R65&lt;=0,0,-R76/R65)</f>
        <v>1.13438902442285</v>
      </c>
      <c r="S80" s="18" t="n">
        <f aca="false">IF(S65&lt;=0,0,-S76/S65)</f>
        <v>1.13010769401169</v>
      </c>
      <c r="T80" s="18" t="n">
        <f aca="false">IF(T65&lt;=0,0,-T76/T65)</f>
        <v>1.1258770373966</v>
      </c>
      <c r="U80" s="18" t="n">
        <f aca="false">IF(U65&lt;=0,0,-U76/U65)</f>
        <v>1.12179777741183</v>
      </c>
      <c r="V80" s="18" t="n">
        <f aca="false">IF(V65&lt;=0,0,-V76/V65)</f>
        <v>1.11795031970235</v>
      </c>
      <c r="W80" s="18" t="n">
        <f aca="false">IF(W65&lt;=0,0,-W76/W65)</f>
        <v>1.11414978943584</v>
      </c>
      <c r="X80" s="18" t="n">
        <f aca="false">IF(X65&lt;=0,0,-X76/X65)</f>
        <v>1.11048306713371</v>
      </c>
      <c r="Y80" s="18" t="n">
        <f aca="false">IF(Y65&lt;=0,0,-Y76/Y65)</f>
        <v>1.10701967507121</v>
      </c>
      <c r="Z80" s="18" t="n">
        <f aca="false">IF(Z65&lt;=0,0,-Z76/Z65)</f>
        <v>1.10359984622422</v>
      </c>
      <c r="AA80" s="18" t="n">
        <f aca="false">IF(AA65&lt;=0,0,-AA76/AA65)</f>
        <v>1.10029863737296</v>
      </c>
      <c r="AB80" s="18" t="n">
        <f aca="false">IF(AB65&lt;=0,0,-AB76/AB65)</f>
        <v>1.09717623720079</v>
      </c>
      <c r="AC80" s="18" t="n">
        <f aca="false">IF(AC65&lt;=0,0,-AC76/AC65)</f>
        <v>1.09409434867707</v>
      </c>
      <c r="AD80" s="18" t="n">
        <f aca="false">IF(AD65&lt;=0,0,-AD76/AD65)</f>
        <v>1.09111790414581</v>
      </c>
      <c r="AE80" s="18" t="n">
        <f aca="false">IF(AE65&lt;=0,0,-AE76/AE65)</f>
        <v>1.08829907143194</v>
      </c>
      <c r="AF80" s="18" t="n">
        <f aca="false">IF(AF65&lt;=0,0,-AF76/AF65)</f>
        <v>1.08551795963182</v>
      </c>
      <c r="AG80" s="18" t="n">
        <f aca="false">IF(AG65&lt;=0,0,-AG76/AG65)</f>
        <v>1.08283081243398</v>
      </c>
    </row>
    <row r="81" customFormat="false" ht="15" hidden="false" customHeight="true" outlineLevel="0" collapsed="false">
      <c r="B81" s="3" t="s">
        <v>150</v>
      </c>
      <c r="C81" s="16" t="n">
        <f aca="false">IF(C79&gt;=Assumptions!$C$24-1,1,0)</f>
        <v>1</v>
      </c>
      <c r="D81" s="16" t="n">
        <f aca="false">IF(D79&gt;=Assumptions!$C$24-1,1,0)</f>
        <v>1</v>
      </c>
      <c r="E81" s="16" t="n">
        <f aca="false">IF(E79&gt;=Assumptions!$C$24-1,1,0)</f>
        <v>1</v>
      </c>
      <c r="F81" s="16" t="n">
        <f aca="false">IF(F79&gt;=Assumptions!$C$24-1,1,0)</f>
        <v>1</v>
      </c>
      <c r="G81" s="16" t="n">
        <f aca="false">IF(G79&gt;=Assumptions!$C$24-1,1,0)</f>
        <v>1</v>
      </c>
      <c r="H81" s="16" t="n">
        <f aca="false">IF(H79&gt;=Assumptions!$C$24-1,1,0)</f>
        <v>1</v>
      </c>
      <c r="I81" s="16" t="n">
        <f aca="false">IF(I79&gt;=Assumptions!$C$24-1,1,0)</f>
        <v>1</v>
      </c>
      <c r="J81" s="16" t="n">
        <f aca="false">IF(J79&gt;=Assumptions!$C$24-1,1,0)</f>
        <v>1</v>
      </c>
      <c r="K81" s="16" t="n">
        <f aca="false">IF(K79&gt;=Assumptions!$C$24-1,1,0)</f>
        <v>1</v>
      </c>
      <c r="L81" s="16" t="n">
        <f aca="false">IF(L79&gt;=Assumptions!$C$24-1,1,0)</f>
        <v>1</v>
      </c>
      <c r="M81" s="16" t="n">
        <f aca="false">IF(M79&gt;=Assumptions!$C$24-1,1,0)</f>
        <v>1</v>
      </c>
      <c r="N81" s="16" t="n">
        <f aca="false">IF(N79&gt;=Assumptions!$C$24-1,1,0)</f>
        <v>1</v>
      </c>
      <c r="O81" s="16" t="n">
        <f aca="false">IF(O79&gt;=Assumptions!$C$24-1,1,0)</f>
        <v>1</v>
      </c>
      <c r="P81" s="16" t="n">
        <f aca="false">IF(P79&gt;=Assumptions!$C$24-1,1,0)</f>
        <v>1</v>
      </c>
      <c r="Q81" s="16" t="n">
        <f aca="false">IF(Q79&gt;=Assumptions!$C$24-1,1,0)</f>
        <v>1</v>
      </c>
      <c r="R81" s="16" t="n">
        <f aca="false">IF(R79&gt;=Assumptions!$C$24-1,1,0)</f>
        <v>1</v>
      </c>
      <c r="S81" s="16" t="n">
        <f aca="false">IF(S79&gt;=Assumptions!$C$24-1,1,0)</f>
        <v>1</v>
      </c>
      <c r="T81" s="16" t="n">
        <f aca="false">IF(T79&gt;=Assumptions!$C$24-1,1,0)</f>
        <v>1</v>
      </c>
      <c r="U81" s="16" t="n">
        <f aca="false">IF(U79&gt;=Assumptions!$C$24-1,1,0)</f>
        <v>1</v>
      </c>
      <c r="V81" s="16" t="n">
        <f aca="false">IF(V79&gt;=Assumptions!$C$24-1,1,0)</f>
        <v>1</v>
      </c>
      <c r="W81" s="16" t="n">
        <f aca="false">IF(W79&gt;=Assumptions!$C$24-1,1,0)</f>
        <v>1</v>
      </c>
      <c r="X81" s="16" t="n">
        <f aca="false">IF(X79&gt;=Assumptions!$C$24-1,1,0)</f>
        <v>1</v>
      </c>
      <c r="Y81" s="16" t="n">
        <f aca="false">IF(Y79&gt;=Assumptions!$C$24-1,1,0)</f>
        <v>1</v>
      </c>
      <c r="Z81" s="16" t="n">
        <f aca="false">IF(Z79&gt;=Assumptions!$C$24-1,1,0)</f>
        <v>1</v>
      </c>
      <c r="AA81" s="16" t="n">
        <f aca="false">IF(AA79&gt;=Assumptions!$C$24-1,1,0)</f>
        <v>1</v>
      </c>
      <c r="AB81" s="16" t="n">
        <f aca="false">IF(AB79&gt;=Assumptions!$C$24-1,1,0)</f>
        <v>1</v>
      </c>
      <c r="AC81" s="16" t="n">
        <f aca="false">IF(AC79&gt;=Assumptions!$C$24-1,1,0)</f>
        <v>1</v>
      </c>
      <c r="AD81" s="16" t="n">
        <f aca="false">IF(AD79&gt;=Assumptions!$C$24-1,1,0)</f>
        <v>1</v>
      </c>
      <c r="AE81" s="16" t="n">
        <f aca="false">IF(AE79&gt;=Assumptions!$C$24-1,1,0)</f>
        <v>1</v>
      </c>
      <c r="AF81" s="16" t="n">
        <f aca="false">IF(AF79&gt;=Assumptions!$C$24-1,1,0)</f>
        <v>1</v>
      </c>
      <c r="AG81" s="16" t="n">
        <f aca="false">IF(AG79&gt;=Assumptions!$C$24-1,1,0)</f>
        <v>1</v>
      </c>
    </row>
    <row r="82" customFormat="false" ht="1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G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9" min="3" style="0" width="13"/>
  </cols>
  <sheetData>
    <row r="2" customFormat="false" ht="17.35" hidden="false" customHeight="false" outlineLevel="0" collapsed="false">
      <c r="B2" s="1" t="s">
        <v>151</v>
      </c>
    </row>
    <row r="4" customFormat="false" ht="15" hidden="false" customHeight="false" outlineLevel="0" collapsed="false">
      <c r="B4" s="0" t="s">
        <v>87</v>
      </c>
      <c r="C4" s="8" t="n">
        <f aca="false">Model!C4</f>
        <v>0</v>
      </c>
      <c r="D4" s="8" t="n">
        <f aca="false">Model!D4</f>
        <v>1</v>
      </c>
      <c r="E4" s="8" t="n">
        <f aca="false">Model!E4</f>
        <v>2</v>
      </c>
      <c r="F4" s="8" t="n">
        <f aca="false">Model!F4</f>
        <v>3</v>
      </c>
      <c r="G4" s="8" t="n">
        <f aca="false">Model!G4</f>
        <v>4</v>
      </c>
      <c r="H4" s="8" t="n">
        <f aca="false">Model!H4</f>
        <v>5</v>
      </c>
      <c r="I4" s="8" t="n">
        <f aca="false">Model!I4</f>
        <v>6</v>
      </c>
      <c r="J4" s="8" t="n">
        <f aca="false">Model!J4</f>
        <v>7</v>
      </c>
      <c r="K4" s="8" t="n">
        <f aca="false">Model!K4</f>
        <v>8</v>
      </c>
      <c r="L4" s="8" t="n">
        <f aca="false">Model!L4</f>
        <v>9</v>
      </c>
      <c r="M4" s="8" t="n">
        <f aca="false">Model!M4</f>
        <v>10</v>
      </c>
      <c r="N4" s="8" t="n">
        <f aca="false">Model!N4</f>
        <v>11</v>
      </c>
      <c r="O4" s="8" t="n">
        <f aca="false">Model!O4</f>
        <v>12</v>
      </c>
      <c r="P4" s="8" t="n">
        <f aca="false">Model!P4</f>
        <v>13</v>
      </c>
      <c r="Q4" s="8" t="n">
        <f aca="false">Model!Q4</f>
        <v>14</v>
      </c>
      <c r="R4" s="8" t="n">
        <f aca="false">Model!R4</f>
        <v>15</v>
      </c>
      <c r="S4" s="8" t="n">
        <f aca="false">Model!S4</f>
        <v>16</v>
      </c>
      <c r="T4" s="8" t="n">
        <f aca="false">Model!T4</f>
        <v>17</v>
      </c>
      <c r="U4" s="8" t="n">
        <f aca="false">Model!U4</f>
        <v>18</v>
      </c>
      <c r="V4" s="8" t="n">
        <f aca="false">Model!V4</f>
        <v>19</v>
      </c>
      <c r="W4" s="8" t="n">
        <f aca="false">Model!W4</f>
        <v>20</v>
      </c>
      <c r="X4" s="8" t="n">
        <f aca="false">Model!X4</f>
        <v>21</v>
      </c>
      <c r="Y4" s="8" t="n">
        <f aca="false">Model!Y4</f>
        <v>22</v>
      </c>
      <c r="Z4" s="8" t="n">
        <f aca="false">Model!Z4</f>
        <v>23</v>
      </c>
      <c r="AA4" s="8" t="n">
        <f aca="false">Model!AA4</f>
        <v>24</v>
      </c>
      <c r="AB4" s="8" t="n">
        <f aca="false">Model!AB4</f>
        <v>25</v>
      </c>
      <c r="AC4" s="8" t="n">
        <f aca="false">Model!AC4</f>
        <v>26</v>
      </c>
      <c r="AD4" s="8" t="n">
        <f aca="false">Model!AD4</f>
        <v>27</v>
      </c>
      <c r="AE4" s="8" t="n">
        <f aca="false">Model!AE4</f>
        <v>28</v>
      </c>
      <c r="AF4" s="8" t="n">
        <f aca="false">Model!AF4</f>
        <v>29</v>
      </c>
      <c r="AG4" s="8" t="n">
        <f aca="false">Model!AG4</f>
        <v>30</v>
      </c>
    </row>
    <row r="6" customFormat="false" ht="15" hidden="false" customHeight="false" outlineLevel="0" collapsed="false">
      <c r="B6" s="8" t="s">
        <v>152</v>
      </c>
      <c r="C6" s="19" t="n">
        <f aca="false">-Assumptions!$C$8+Model!C46+Model!C64</f>
        <v>-29561808</v>
      </c>
      <c r="D6" s="19" t="n">
        <f aca="false">Model!D46+Model!D64+Model!D50</f>
        <v>-8193408</v>
      </c>
      <c r="E6" s="19" t="n">
        <f aca="false">Model!E46+Model!E64+Model!E50</f>
        <v>-16184408.8275862</v>
      </c>
      <c r="F6" s="19" t="n">
        <f aca="false">Model!F46+Model!F64+Model!F50</f>
        <v>-8412195.71947192</v>
      </c>
      <c r="G6" s="19" t="n">
        <f aca="false">Model!G46+Model!G64+Model!G50</f>
        <v>20532719.7398167</v>
      </c>
      <c r="H6" s="19" t="n">
        <f aca="false">Model!H46+Model!H64+Model!H50</f>
        <v>21473028.2121422</v>
      </c>
      <c r="I6" s="19" t="n">
        <f aca="false">Model!I46+Model!I64+Model!I50</f>
        <v>22066469.411732</v>
      </c>
      <c r="J6" s="19" t="n">
        <f aca="false">Model!J46+Model!J64+Model!J50</f>
        <v>22659086.8103538</v>
      </c>
      <c r="K6" s="19" t="n">
        <f aca="false">Model!K46+Model!K64+Model!K50</f>
        <v>23285522.4910218</v>
      </c>
      <c r="L6" s="19" t="n">
        <f aca="false">Model!L46+Model!L64+Model!L50</f>
        <v>23929012.0966046</v>
      </c>
      <c r="M6" s="19" t="n">
        <f aca="false">Model!M46+Model!M64+Model!M50</f>
        <v>24571935.3132091</v>
      </c>
      <c r="N6" s="19" t="n">
        <f aca="false">Model!N46+Model!N64+Model!N50</f>
        <v>25250650.2709943</v>
      </c>
      <c r="O6" s="19" t="n">
        <f aca="false">Model!O46+Model!O64+Model!O50</f>
        <v>25947535.8550504</v>
      </c>
      <c r="P6" s="19" t="n">
        <f aca="false">Model!P46+Model!P64+Model!P50</f>
        <v>26644069.4783683</v>
      </c>
      <c r="Q6" s="19" t="n">
        <f aca="false">Model!Q46+Model!Q64+Model!Q50</f>
        <v>27378402.9482651</v>
      </c>
      <c r="R6" s="19" t="n">
        <f aca="false">Model!R46+Model!R64+Model!R50</f>
        <v>28191618.4123914</v>
      </c>
      <c r="S6" s="19" t="n">
        <f aca="false">Model!S46+Model!S64+Model!S50</f>
        <v>29009393.2784415</v>
      </c>
      <c r="T6" s="19" t="n">
        <f aca="false">Model!T46+Model!T64+Model!T50</f>
        <v>29872133.5643332</v>
      </c>
      <c r="U6" s="19" t="n">
        <f aca="false">Model!U46+Model!U64+Model!U50</f>
        <v>30760756.0588016</v>
      </c>
      <c r="V6" s="19" t="n">
        <f aca="false">Model!V46+Model!V64+Model!V50</f>
        <v>31655208.312984</v>
      </c>
      <c r="W6" s="19" t="n">
        <f aca="false">Model!W46+Model!W64+Model!W50</f>
        <v>32597947.9173655</v>
      </c>
      <c r="X6" s="19" t="n">
        <f aca="false">Model!X46+Model!X64+Model!X50</f>
        <v>33568969.7098784</v>
      </c>
      <c r="Y6" s="19" t="n">
        <f aca="false">Model!Y46+Model!Y64+Model!Y50</f>
        <v>34547251.7953668</v>
      </c>
      <c r="Z6" s="19" t="n">
        <f aca="false">Model!Z46+Model!Z64+Model!Z50</f>
        <v>35577408.8150438</v>
      </c>
      <c r="AA6" s="19" t="n">
        <f aca="false">Model!AA46+Model!AA64+Model!AA50</f>
        <v>36638470.545311</v>
      </c>
      <c r="AB6" s="19" t="n">
        <f aca="false">Model!AB46+Model!AB64+Model!AB50</f>
        <v>37708400.2485264</v>
      </c>
      <c r="AC6" s="19" t="n">
        <f aca="false">Model!AC46+Model!AC64+Model!AC50</f>
        <v>38834080.6381669</v>
      </c>
      <c r="AD6" s="19" t="n">
        <f aca="false">Model!AD46+Model!AD64+Model!AD50</f>
        <v>39993531.4394967</v>
      </c>
      <c r="AE6" s="19" t="n">
        <f aca="false">Model!AE46+Model!AE64+Model!AE50</f>
        <v>41163653.6920664</v>
      </c>
      <c r="AF6" s="19" t="n">
        <f aca="false">Model!AF46+Model!AF64+Model!AF50</f>
        <v>42393715.0471972</v>
      </c>
      <c r="AG6" s="19" t="n">
        <f aca="false">Model!AG46+Model!AG64+Model!AG50</f>
        <v>43660678.2429819</v>
      </c>
    </row>
    <row r="7" customFormat="false" ht="15" hidden="false" customHeight="false" outlineLevel="0" collapsed="false">
      <c r="B7" s="3" t="s">
        <v>153</v>
      </c>
      <c r="C7" s="10" t="n">
        <f aca="false">-Assumptions!$C$8-Assumptions!$C$9</f>
        <v>-33000000</v>
      </c>
      <c r="D7" s="10" t="n">
        <f aca="false">-Model!D78-Model!D77</f>
        <v>-9000000</v>
      </c>
      <c r="E7" s="10" t="n">
        <f aca="false">-Model!E78-Model!E77</f>
        <v>-10937446.0413793</v>
      </c>
      <c r="F7" s="10" t="n">
        <f aca="false">-Model!F78-Model!F77</f>
        <v>-9141509.16087645</v>
      </c>
      <c r="G7" s="10" t="n">
        <f aca="false">-Model!G78-Model!G77</f>
        <v>-0</v>
      </c>
      <c r="H7" s="10" t="n">
        <f aca="false">-Model!H78-Model!H77</f>
        <v>-0</v>
      </c>
      <c r="I7" s="10" t="n">
        <f aca="false">-Model!I78-Model!I77</f>
        <v>-0</v>
      </c>
      <c r="J7" s="10" t="n">
        <f aca="false">-Model!J78-Model!J77</f>
        <v>-0</v>
      </c>
      <c r="K7" s="10" t="n">
        <f aca="false">-Model!K78-Model!K77</f>
        <v>-0</v>
      </c>
      <c r="L7" s="10" t="n">
        <f aca="false">-Model!L78-Model!L77</f>
        <v>-0</v>
      </c>
      <c r="M7" s="10" t="n">
        <f aca="false">-Model!M78-Model!M77</f>
        <v>-0</v>
      </c>
      <c r="N7" s="10" t="n">
        <f aca="false">-Model!N78-Model!N77</f>
        <v>-0</v>
      </c>
      <c r="O7" s="10" t="n">
        <f aca="false">-Model!O78-Model!O77</f>
        <v>-0</v>
      </c>
      <c r="P7" s="10" t="n">
        <f aca="false">-Model!P78-Model!P77</f>
        <v>-0</v>
      </c>
      <c r="Q7" s="10" t="n">
        <f aca="false">-Model!Q78-Model!Q77</f>
        <v>-0</v>
      </c>
      <c r="R7" s="10" t="n">
        <f aca="false">-Model!R78-Model!R77</f>
        <v>-0</v>
      </c>
      <c r="S7" s="10" t="n">
        <f aca="false">-Model!S78-Model!S77</f>
        <v>-0</v>
      </c>
      <c r="T7" s="10" t="n">
        <f aca="false">-Model!T78-Model!T77</f>
        <v>-0</v>
      </c>
      <c r="U7" s="10" t="n">
        <f aca="false">-Model!U78-Model!U77</f>
        <v>-0</v>
      </c>
      <c r="V7" s="10" t="n">
        <f aca="false">-Model!V78-Model!V77</f>
        <v>-0</v>
      </c>
      <c r="W7" s="10" t="n">
        <f aca="false">-Model!W78-Model!W77</f>
        <v>-0</v>
      </c>
      <c r="X7" s="10" t="n">
        <f aca="false">-Model!X78-Model!X77</f>
        <v>-0</v>
      </c>
      <c r="Y7" s="10" t="n">
        <f aca="false">-Model!Y78-Model!Y77</f>
        <v>-0</v>
      </c>
      <c r="Z7" s="10" t="n">
        <f aca="false">-Model!Z78-Model!Z77</f>
        <v>-0</v>
      </c>
      <c r="AA7" s="10" t="n">
        <f aca="false">-Model!AA78-Model!AA77</f>
        <v>-0</v>
      </c>
      <c r="AB7" s="10" t="n">
        <f aca="false">-Model!AB78-Model!AB77</f>
        <v>-0</v>
      </c>
      <c r="AC7" s="10" t="n">
        <f aca="false">-Model!AC78-Model!AC77</f>
        <v>-0</v>
      </c>
      <c r="AD7" s="10" t="n">
        <f aca="false">-Model!AD78-Model!AD77</f>
        <v>-0</v>
      </c>
      <c r="AE7" s="10" t="n">
        <f aca="false">-Model!AE78-Model!AE77</f>
        <v>-0</v>
      </c>
      <c r="AF7" s="10" t="n">
        <f aca="false">-Model!AF78-Model!AF77</f>
        <v>-0</v>
      </c>
      <c r="AG7" s="10" t="n">
        <f aca="false">-Model!AG78-Model!AG77</f>
        <v>-0</v>
      </c>
    </row>
    <row r="8" customFormat="false" ht="15" hidden="false" customHeight="false" outlineLevel="0" collapsed="false">
      <c r="B8" s="3" t="s">
        <v>154</v>
      </c>
      <c r="C8" s="10" t="n">
        <f aca="false">-Model!C76</f>
        <v>-0</v>
      </c>
      <c r="D8" s="10" t="n">
        <f aca="false">-Model!D76</f>
        <v>3235603.2</v>
      </c>
      <c r="E8" s="10" t="n">
        <f aca="false">-Model!E76</f>
        <v>6262218.0137931</v>
      </c>
      <c r="F8" s="10" t="n">
        <f aca="false">-Model!F76</f>
        <v>11229313.4414045</v>
      </c>
      <c r="G8" s="10" t="n">
        <f aca="false">-Model!G76</f>
        <v>12913973.0632813</v>
      </c>
      <c r="H8" s="10" t="n">
        <f aca="false">-Model!H76</f>
        <v>13830585.395543</v>
      </c>
      <c r="I8" s="10" t="n">
        <f aca="false">-Model!I76</f>
        <v>14461748.5564422</v>
      </c>
      <c r="J8" s="10" t="n">
        <f aca="false">-Model!J76</f>
        <v>15102350.5378184</v>
      </c>
      <c r="K8" s="10" t="n">
        <f aca="false">-Model!K76</f>
        <v>15782648.2343377</v>
      </c>
      <c r="L8" s="10" t="n">
        <f aca="false">-Model!L76</f>
        <v>16489267.9564706</v>
      </c>
      <c r="M8" s="10" t="n">
        <f aca="false">-Model!M76</f>
        <v>17208178.532563</v>
      </c>
      <c r="N8" s="10" t="n">
        <f aca="false">-Model!N76</f>
        <v>17971306.1560174</v>
      </c>
      <c r="O8" s="10" t="n">
        <f aca="false">-Model!O76</f>
        <v>18764776.4045488</v>
      </c>
      <c r="P8" s="10" t="n">
        <f aca="false">-Model!P76</f>
        <v>51577822.6680017</v>
      </c>
      <c r="Q8" s="10" t="n">
        <f aca="false">-Model!Q76</f>
        <v>27378402.9482651</v>
      </c>
      <c r="R8" s="10" t="n">
        <f aca="false">-Model!R76</f>
        <v>28191618.4123914</v>
      </c>
      <c r="S8" s="10" t="n">
        <f aca="false">-Model!S76</f>
        <v>29009393.2784416</v>
      </c>
      <c r="T8" s="10" t="n">
        <f aca="false">-Model!T76</f>
        <v>29872133.5643332</v>
      </c>
      <c r="U8" s="10" t="n">
        <f aca="false">-Model!U76</f>
        <v>30760756.0588016</v>
      </c>
      <c r="V8" s="10" t="n">
        <f aca="false">-Model!V76</f>
        <v>31655208.312984</v>
      </c>
      <c r="W8" s="10" t="n">
        <f aca="false">-Model!W76</f>
        <v>32597947.9173655</v>
      </c>
      <c r="X8" s="10" t="n">
        <f aca="false">-Model!X76</f>
        <v>33568969.7098784</v>
      </c>
      <c r="Y8" s="10" t="n">
        <f aca="false">-Model!Y76</f>
        <v>34547251.7953668</v>
      </c>
      <c r="Z8" s="10" t="n">
        <f aca="false">-Model!Z76</f>
        <v>35577408.8150438</v>
      </c>
      <c r="AA8" s="10" t="n">
        <f aca="false">-Model!AA76</f>
        <v>36638470.545311</v>
      </c>
      <c r="AB8" s="10" t="n">
        <f aca="false">-Model!AB76</f>
        <v>37708400.2485264</v>
      </c>
      <c r="AC8" s="10" t="n">
        <f aca="false">-Model!AC76</f>
        <v>38834080.6381669</v>
      </c>
      <c r="AD8" s="10" t="n">
        <f aca="false">-Model!AD76</f>
        <v>39993531.4394967</v>
      </c>
      <c r="AE8" s="10" t="n">
        <f aca="false">-Model!AE76</f>
        <v>41163653.6920664</v>
      </c>
      <c r="AF8" s="10" t="n">
        <f aca="false">-Model!AF76</f>
        <v>42393715.0471972</v>
      </c>
      <c r="AG8" s="10" t="n">
        <f aca="false">-Model!AG76</f>
        <v>43660678.2429819</v>
      </c>
    </row>
    <row r="9" customFormat="false" ht="15" hidden="false" customHeight="false" outlineLevel="0" collapsed="false">
      <c r="B9" s="3" t="s">
        <v>155</v>
      </c>
      <c r="C9" s="10" t="n">
        <f aca="false">0</f>
        <v>0</v>
      </c>
      <c r="D9" s="10" t="n">
        <f aca="false">0</f>
        <v>0</v>
      </c>
      <c r="E9" s="10" t="n">
        <f aca="false">0</f>
        <v>0</v>
      </c>
      <c r="F9" s="10" t="n">
        <f aca="false">0</f>
        <v>0</v>
      </c>
      <c r="G9" s="10" t="n">
        <f aca="false">0</f>
        <v>0</v>
      </c>
      <c r="H9" s="10" t="n">
        <f aca="false">0</f>
        <v>0</v>
      </c>
      <c r="I9" s="10" t="n">
        <f aca="false">0</f>
        <v>0</v>
      </c>
      <c r="J9" s="10" t="n">
        <f aca="false">0</f>
        <v>0</v>
      </c>
      <c r="K9" s="10" t="n">
        <f aca="false">0</f>
        <v>0</v>
      </c>
      <c r="L9" s="10" t="n">
        <f aca="false">0</f>
        <v>0</v>
      </c>
      <c r="M9" s="10" t="n">
        <f aca="false">0</f>
        <v>0</v>
      </c>
      <c r="N9" s="10" t="n">
        <f aca="false">0</f>
        <v>0</v>
      </c>
      <c r="O9" s="10" t="n">
        <f aca="false">0</f>
        <v>0</v>
      </c>
      <c r="P9" s="10" t="n">
        <f aca="false">0</f>
        <v>0</v>
      </c>
      <c r="Q9" s="10" t="n">
        <f aca="false">0</f>
        <v>0</v>
      </c>
      <c r="R9" s="10" t="n">
        <f aca="false">0</f>
        <v>0</v>
      </c>
      <c r="S9" s="10" t="n">
        <f aca="false">0</f>
        <v>0</v>
      </c>
      <c r="T9" s="10" t="n">
        <f aca="false">0</f>
        <v>0</v>
      </c>
      <c r="U9" s="10" t="n">
        <f aca="false">0</f>
        <v>0</v>
      </c>
      <c r="V9" s="10" t="n">
        <f aca="false">0</f>
        <v>0</v>
      </c>
      <c r="W9" s="10" t="n">
        <f aca="false">0</f>
        <v>0</v>
      </c>
      <c r="X9" s="10" t="n">
        <f aca="false">0</f>
        <v>0</v>
      </c>
      <c r="Y9" s="10" t="n">
        <f aca="false">0</f>
        <v>0</v>
      </c>
      <c r="Z9" s="10" t="n">
        <f aca="false">0</f>
        <v>0</v>
      </c>
      <c r="AA9" s="10" t="n">
        <f aca="false">0</f>
        <v>0</v>
      </c>
      <c r="AB9" s="10" t="n">
        <f aca="false">0</f>
        <v>0</v>
      </c>
      <c r="AC9" s="10" t="n">
        <f aca="false">0</f>
        <v>0</v>
      </c>
      <c r="AD9" s="10" t="n">
        <f aca="false">0</f>
        <v>0</v>
      </c>
      <c r="AE9" s="10" t="n">
        <f aca="false">0</f>
        <v>0</v>
      </c>
      <c r="AF9" s="10" t="n">
        <f aca="false">0</f>
        <v>0</v>
      </c>
      <c r="AG9" s="10" t="n">
        <f aca="false">Model!AG79</f>
        <v>6000000</v>
      </c>
    </row>
    <row r="10" customFormat="false" ht="15" hidden="false" customHeight="false" outlineLevel="0" collapsed="false">
      <c r="B10" s="8" t="s">
        <v>156</v>
      </c>
      <c r="C10" s="19" t="n">
        <f aca="false">C7+C8+C9</f>
        <v>-33000000</v>
      </c>
      <c r="D10" s="19" t="n">
        <f aca="false">D7+D8+D9</f>
        <v>-5764396.8</v>
      </c>
      <c r="E10" s="19" t="n">
        <f aca="false">E7+E8+E9</f>
        <v>-4675228.02758621</v>
      </c>
      <c r="F10" s="19" t="n">
        <f aca="false">F7+F8+F9</f>
        <v>2087804.28052808</v>
      </c>
      <c r="G10" s="19" t="n">
        <f aca="false">G7+G8+G9</f>
        <v>12913973.0632813</v>
      </c>
      <c r="H10" s="19" t="n">
        <f aca="false">H7+H8+H9</f>
        <v>13830585.395543</v>
      </c>
      <c r="I10" s="19" t="n">
        <f aca="false">I7+I8+I9</f>
        <v>14461748.5564422</v>
      </c>
      <c r="J10" s="19" t="n">
        <f aca="false">J7+J8+J9</f>
        <v>15102350.5378184</v>
      </c>
      <c r="K10" s="19" t="n">
        <f aca="false">K7+K8+K9</f>
        <v>15782648.2343377</v>
      </c>
      <c r="L10" s="19" t="n">
        <f aca="false">L7+L8+L9</f>
        <v>16489267.9564706</v>
      </c>
      <c r="M10" s="19" t="n">
        <f aca="false">M7+M8+M9</f>
        <v>17208178.532563</v>
      </c>
      <c r="N10" s="19" t="n">
        <f aca="false">N7+N8+N9</f>
        <v>17971306.1560174</v>
      </c>
      <c r="O10" s="19" t="n">
        <f aca="false">O7+O8+O9</f>
        <v>18764776.4045488</v>
      </c>
      <c r="P10" s="19" t="n">
        <f aca="false">P7+P8+P9</f>
        <v>51577822.6680017</v>
      </c>
      <c r="Q10" s="19" t="n">
        <f aca="false">Q7+Q8+Q9</f>
        <v>27378402.9482651</v>
      </c>
      <c r="R10" s="19" t="n">
        <f aca="false">R7+R8+R9</f>
        <v>28191618.4123914</v>
      </c>
      <c r="S10" s="19" t="n">
        <f aca="false">S7+S8+S9</f>
        <v>29009393.2784416</v>
      </c>
      <c r="T10" s="19" t="n">
        <f aca="false">T7+T8+T9</f>
        <v>29872133.5643332</v>
      </c>
      <c r="U10" s="19" t="n">
        <f aca="false">U7+U8+U9</f>
        <v>30760756.0588016</v>
      </c>
      <c r="V10" s="19" t="n">
        <f aca="false">V7+V8+V9</f>
        <v>31655208.312984</v>
      </c>
      <c r="W10" s="19" t="n">
        <f aca="false">W7+W8+W9</f>
        <v>32597947.9173655</v>
      </c>
      <c r="X10" s="19" t="n">
        <f aca="false">X7+X8+X9</f>
        <v>33568969.7098784</v>
      </c>
      <c r="Y10" s="19" t="n">
        <f aca="false">Y7+Y8+Y9</f>
        <v>34547251.7953668</v>
      </c>
      <c r="Z10" s="19" t="n">
        <f aca="false">Z7+Z8+Z9</f>
        <v>35577408.8150438</v>
      </c>
      <c r="AA10" s="19" t="n">
        <f aca="false">AA7+AA8+AA9</f>
        <v>36638470.545311</v>
      </c>
      <c r="AB10" s="19" t="n">
        <f aca="false">AB7+AB8+AB9</f>
        <v>37708400.2485264</v>
      </c>
      <c r="AC10" s="19" t="n">
        <f aca="false">AC7+AC8+AC9</f>
        <v>38834080.6381669</v>
      </c>
      <c r="AD10" s="19" t="n">
        <f aca="false">AD7+AD8+AD9</f>
        <v>39993531.4394967</v>
      </c>
      <c r="AE10" s="19" t="n">
        <f aca="false">AE7+AE8+AE9</f>
        <v>41163653.6920664</v>
      </c>
      <c r="AF10" s="19" t="n">
        <f aca="false">AF7+AF8+AF9</f>
        <v>42393715.0471972</v>
      </c>
      <c r="AG10" s="19" t="n">
        <f aca="false">AG7+AG8+AG9</f>
        <v>49660678.2429819</v>
      </c>
    </row>
    <row r="11" customFormat="false" ht="15" hidden="false" customHeight="false" outlineLevel="0" collapsed="false">
      <c r="B11" s="3" t="s">
        <v>157</v>
      </c>
      <c r="C11" s="10" t="n">
        <f aca="false">C10</f>
        <v>-33000000</v>
      </c>
      <c r="D11" s="10" t="n">
        <f aca="false">C11+D10</f>
        <v>-38764396.8</v>
      </c>
      <c r="E11" s="10" t="n">
        <f aca="false">D11+E10</f>
        <v>-43439624.8275862</v>
      </c>
      <c r="F11" s="10" t="n">
        <f aca="false">E11+F10</f>
        <v>-41351820.5470581</v>
      </c>
      <c r="G11" s="10" t="n">
        <f aca="false">F11+G10</f>
        <v>-28437847.4837768</v>
      </c>
      <c r="H11" s="10" t="n">
        <f aca="false">G11+H10</f>
        <v>-14607262.0882338</v>
      </c>
      <c r="I11" s="10" t="n">
        <f aca="false">H11+I10</f>
        <v>-145513.531791568</v>
      </c>
      <c r="J11" s="10" t="n">
        <f aca="false">I11+J10</f>
        <v>14956837.0060268</v>
      </c>
      <c r="K11" s="10" t="n">
        <f aca="false">J11+K10</f>
        <v>30739485.2403644</v>
      </c>
      <c r="L11" s="10" t="n">
        <f aca="false">K11+L10</f>
        <v>47228753.196835</v>
      </c>
      <c r="M11" s="10" t="n">
        <f aca="false">L11+M10</f>
        <v>64436931.7293981</v>
      </c>
      <c r="N11" s="10" t="n">
        <f aca="false">M11+N10</f>
        <v>82408237.8854154</v>
      </c>
      <c r="O11" s="10" t="n">
        <f aca="false">N11+O10</f>
        <v>101173014.289964</v>
      </c>
      <c r="P11" s="10" t="n">
        <f aca="false">O11+P10</f>
        <v>152750836.957966</v>
      </c>
      <c r="Q11" s="10" t="n">
        <f aca="false">P11+Q10</f>
        <v>180129239.906231</v>
      </c>
      <c r="R11" s="10" t="n">
        <f aca="false">Q11+R10</f>
        <v>208320858.318623</v>
      </c>
      <c r="S11" s="10" t="n">
        <f aca="false">R11+S10</f>
        <v>237330251.597064</v>
      </c>
      <c r="T11" s="10" t="n">
        <f aca="false">S11+T10</f>
        <v>267202385.161397</v>
      </c>
      <c r="U11" s="10" t="n">
        <f aca="false">T11+U10</f>
        <v>297963141.220199</v>
      </c>
      <c r="V11" s="10" t="n">
        <f aca="false">U11+V10</f>
        <v>329618349.533183</v>
      </c>
      <c r="W11" s="10" t="n">
        <f aca="false">V11+W10</f>
        <v>362216297.450548</v>
      </c>
      <c r="X11" s="10" t="n">
        <f aca="false">W11+X10</f>
        <v>395785267.160427</v>
      </c>
      <c r="Y11" s="10" t="n">
        <f aca="false">X11+Y10</f>
        <v>430332518.955794</v>
      </c>
      <c r="Z11" s="10" t="n">
        <f aca="false">Y11+Z10</f>
        <v>465909927.770837</v>
      </c>
      <c r="AA11" s="10" t="n">
        <f aca="false">Z11+AA10</f>
        <v>502548398.316148</v>
      </c>
      <c r="AB11" s="10" t="n">
        <f aca="false">AA11+AB10</f>
        <v>540256798.564675</v>
      </c>
      <c r="AC11" s="10" t="n">
        <f aca="false">AB11+AC10</f>
        <v>579090879.202842</v>
      </c>
      <c r="AD11" s="10" t="n">
        <f aca="false">AC11+AD10</f>
        <v>619084410.642338</v>
      </c>
      <c r="AE11" s="10" t="n">
        <f aca="false">AD11+AE10</f>
        <v>660248064.334405</v>
      </c>
      <c r="AF11" s="10" t="n">
        <f aca="false">AE11+AF10</f>
        <v>702641779.381602</v>
      </c>
      <c r="AG11" s="10" t="n">
        <f aca="false">AF11+AG10</f>
        <v>752302457.624584</v>
      </c>
    </row>
    <row r="12" customFormat="false" ht="15" hidden="false" customHeight="false" outlineLevel="0" collapsed="false">
      <c r="B12" s="3" t="s">
        <v>158</v>
      </c>
      <c r="C12" s="18" t="n">
        <f aca="false">IF(C$4=0,0,C8/-SUM($C$7:$AG$7))</f>
        <v>0</v>
      </c>
      <c r="D12" s="18" t="n">
        <f aca="false">IF(D$4=0,0,D8/-SUM($C$7:$AG$7))</f>
        <v>0.0521207740925773</v>
      </c>
      <c r="E12" s="18" t="n">
        <f aca="false">IF(E$4=0,0,E8/-SUM($C$7:$AG$7))</f>
        <v>0.100875054894055</v>
      </c>
      <c r="F12" s="18" t="n">
        <f aca="false">IF(F$4=0,0,F8/-SUM($C$7:$AG$7))</f>
        <v>0.180887603614123</v>
      </c>
      <c r="G12" s="18" t="n">
        <f aca="false">IF(G$4=0,0,G8/-SUM($C$7:$AG$7))</f>
        <v>0.208024974344479</v>
      </c>
      <c r="H12" s="18" t="n">
        <f aca="false">IF(H$4=0,0,H8/-SUM($C$7:$AG$7))</f>
        <v>0.222790241080611</v>
      </c>
      <c r="I12" s="18" t="n">
        <f aca="false">IF(I$4=0,0,I8/-SUM($C$7:$AG$7))</f>
        <v>0.232957344551391</v>
      </c>
      <c r="J12" s="18" t="n">
        <f aca="false">IF(J$4=0,0,J8/-SUM($C$7:$AG$7))</f>
        <v>0.243276493436693</v>
      </c>
      <c r="K12" s="18" t="n">
        <f aca="false">IF(K$4=0,0,K8/-SUM($C$7:$AG$7))</f>
        <v>0.254235081484815</v>
      </c>
      <c r="L12" s="18" t="n">
        <f aca="false">IF(L$4=0,0,L8/-SUM($C$7:$AG$7))</f>
        <v>0.265617678370196</v>
      </c>
      <c r="M12" s="18" t="n">
        <f aca="false">IF(M$4=0,0,M8/-SUM($C$7:$AG$7))</f>
        <v>0.277198262704295</v>
      </c>
      <c r="N12" s="18" t="n">
        <f aca="false">IF(N$4=0,0,N8/-SUM($C$7:$AG$7))</f>
        <v>0.289491118165023</v>
      </c>
      <c r="O12" s="18" t="n">
        <f aca="false">IF(O$4=0,0,O8/-SUM($C$7:$AG$7))</f>
        <v>0.302272748363957</v>
      </c>
      <c r="P12" s="18" t="n">
        <f aca="false">IF(P$4=0,0,P8/-SUM($C$7:$AG$7))</f>
        <v>0.830842312019574</v>
      </c>
      <c r="Q12" s="18" t="n">
        <f aca="false">IF(Q$4=0,0,Q8/-SUM($C$7:$AG$7))</f>
        <v>0.441025511126358</v>
      </c>
      <c r="R12" s="18" t="n">
        <f aca="false">IF(R$4=0,0,R8/-SUM($C$7:$AG$7))</f>
        <v>0.454125207496518</v>
      </c>
      <c r="S12" s="18" t="n">
        <f aca="false">IF(S$4=0,0,S8/-SUM($C$7:$AG$7))</f>
        <v>0.467298349077039</v>
      </c>
      <c r="T12" s="18" t="n">
        <f aca="false">IF(T$4=0,0,T8/-SUM($C$7:$AG$7))</f>
        <v>0.481195816956142</v>
      </c>
      <c r="U12" s="18" t="n">
        <f aca="false">IF(U$4=0,0,U8/-SUM($C$7:$AG$7))</f>
        <v>0.495510208871618</v>
      </c>
      <c r="V12" s="18" t="n">
        <f aca="false">IF(V$4=0,0,V8/-SUM($C$7:$AG$7))</f>
        <v>0.509918509579455</v>
      </c>
      <c r="W12" s="18" t="n">
        <f aca="false">IF(W$4=0,0,W8/-SUM($C$7:$AG$7))</f>
        <v>0.525104647962583</v>
      </c>
      <c r="X12" s="18" t="n">
        <f aca="false">IF(X$4=0,0,X8/-SUM($C$7:$AG$7))</f>
        <v>0.540746370497206</v>
      </c>
      <c r="Y12" s="18" t="n">
        <f aca="false">IF(Y$4=0,0,Y8/-SUM($C$7:$AG$7))</f>
        <v>0.556505045595732</v>
      </c>
      <c r="Z12" s="18" t="n">
        <f aca="false">IF(Z$4=0,0,Z8/-SUM($C$7:$AG$7))</f>
        <v>0.573099349032713</v>
      </c>
      <c r="AA12" s="18" t="n">
        <f aca="false">IF(AA$4=0,0,AA8/-SUM($C$7:$AG$7))</f>
        <v>0.590191481572804</v>
      </c>
      <c r="AB12" s="18" t="n">
        <f aca="false">IF(AB$4=0,0,AB8/-SUM($C$7:$AG$7))</f>
        <v>0.607426464019423</v>
      </c>
      <c r="AC12" s="18" t="n">
        <f aca="false">IF(AC$4=0,0,AC8/-SUM($C$7:$AG$7))</f>
        <v>0.625559507431205</v>
      </c>
      <c r="AD12" s="18" t="n">
        <f aca="false">IF(AD$4=0,0,AD8/-SUM($C$7:$AG$7))</f>
        <v>0.64423654214534</v>
      </c>
      <c r="AE12" s="18" t="n">
        <f aca="false">IF(AE$4=0,0,AE8/-SUM($C$7:$AG$7))</f>
        <v>0.663085478129481</v>
      </c>
      <c r="AF12" s="18" t="n">
        <f aca="false">IF(AF$4=0,0,AF8/-SUM($C$7:$AG$7))</f>
        <v>0.682899944257707</v>
      </c>
      <c r="AG12" s="18" t="n">
        <f aca="false">IF(AG$4=0,0,AG8/-SUM($C$7:$AG$7))</f>
        <v>0.70330884436978</v>
      </c>
    </row>
    <row r="14" customFormat="false" ht="15" hidden="false" customHeight="false" outlineLevel="0" collapsed="false">
      <c r="B14" s="8" t="s">
        <v>159</v>
      </c>
    </row>
    <row r="15" customFormat="false" ht="15" hidden="false" customHeight="false" outlineLevel="0" collapsed="false">
      <c r="B15" s="3" t="s">
        <v>160</v>
      </c>
      <c r="C15" s="19" t="n">
        <f aca="false">-SUM(C7:AG7)</f>
        <v>62078955.2022558</v>
      </c>
    </row>
    <row r="16" customFormat="false" ht="15" hidden="false" customHeight="false" outlineLevel="0" collapsed="false">
      <c r="B16" s="3" t="s">
        <v>161</v>
      </c>
      <c r="C16" s="19" t="n">
        <f aca="false">-SUM(D7:AG7)</f>
        <v>29078955.2022558</v>
      </c>
    </row>
    <row r="17" customFormat="false" ht="15" hidden="false" customHeight="false" outlineLevel="0" collapsed="false">
      <c r="B17" s="3" t="s">
        <v>162</v>
      </c>
      <c r="C17" s="19" t="n">
        <f aca="false">SUM(Model!D78:AG78)</f>
        <v>4078955.20225576</v>
      </c>
    </row>
    <row r="18" customFormat="false" ht="15" hidden="false" customHeight="false" outlineLevel="0" collapsed="false">
      <c r="B18" s="3" t="s">
        <v>163</v>
      </c>
      <c r="C18" s="19" t="n">
        <f aca="false">SUM(Model!C56:AG56)</f>
        <v>25000000</v>
      </c>
    </row>
    <row r="19" customFormat="false" ht="15" hidden="false" customHeight="false" outlineLevel="0" collapsed="false">
      <c r="B19" s="3" t="s">
        <v>164</v>
      </c>
      <c r="C19" s="19" t="n">
        <f aca="false">SUM(C8:AG8)</f>
        <v>808381412.826839</v>
      </c>
    </row>
    <row r="20" customFormat="false" ht="15" hidden="false" customHeight="false" outlineLevel="0" collapsed="false">
      <c r="B20" s="3" t="s">
        <v>165</v>
      </c>
      <c r="C20" s="19" t="n">
        <f aca="false">AG9</f>
        <v>6000000</v>
      </c>
    </row>
    <row r="21" customFormat="false" ht="15" hidden="false" customHeight="false" outlineLevel="0" collapsed="false">
      <c r="B21" s="3" t="s">
        <v>166</v>
      </c>
      <c r="C21" s="21" t="n">
        <f aca="false">(C19+C20)/C15</f>
        <v>13.1184780764037</v>
      </c>
    </row>
    <row r="22" customFormat="false" ht="15" hidden="false" customHeight="false" outlineLevel="0" collapsed="false">
      <c r="B22" s="3" t="s">
        <v>167</v>
      </c>
      <c r="C22" s="22" t="n">
        <f aca="false">IRR(C10:AG10)</f>
        <v>0.236607309006967</v>
      </c>
    </row>
    <row r="23" customFormat="false" ht="15" hidden="false" customHeight="false" outlineLevel="0" collapsed="false">
      <c r="B23" s="3" t="s">
        <v>168</v>
      </c>
      <c r="C23" s="22" t="n">
        <f aca="false">IRR(C6:AG6)</f>
        <v>0.24011616172226</v>
      </c>
    </row>
    <row r="24" customFormat="false" ht="15" hidden="false" customHeight="false" outlineLevel="0" collapsed="false">
      <c r="B24" s="3" t="s">
        <v>169</v>
      </c>
      <c r="C24" s="12" t="n">
        <f aca="false">IFERROR(INDEX(C4:AG4,MATCH(TRUE(),INDEX(C11:AG11&gt;0,0),0)),"none")</f>
        <v>7</v>
      </c>
    </row>
    <row r="25" customFormat="false" ht="15" hidden="false" customHeight="false" outlineLevel="0" collapsed="false">
      <c r="B25" s="3" t="s">
        <v>170</v>
      </c>
      <c r="C25" s="22" t="n">
        <f aca="false">AVERAGE(H12:AG12)</f>
        <v>0.479996867626833</v>
      </c>
    </row>
    <row r="26" customFormat="false" ht="15" hidden="false" customHeight="false" outlineLevel="0" collapsed="false">
      <c r="B26" s="3" t="s">
        <v>171</v>
      </c>
      <c r="C26" s="19" t="n">
        <f aca="false">Model!I46</f>
        <v>26319924.8695092</v>
      </c>
    </row>
    <row r="27" customFormat="false" ht="15" hidden="false" customHeight="false" outlineLevel="0" collapsed="false">
      <c r="B27" s="3" t="s">
        <v>172</v>
      </c>
      <c r="C27" s="19" t="n">
        <f aca="false">Model!I65</f>
        <v>17013821.8311085</v>
      </c>
    </row>
    <row r="28" customFormat="false" ht="15" hidden="false" customHeight="false" outlineLevel="0" collapsed="false">
      <c r="B28" s="3" t="s">
        <v>173</v>
      </c>
      <c r="C28" s="19" t="n">
        <f aca="false">Model!I76*-1</f>
        <v>14461748.5564422</v>
      </c>
    </row>
    <row r="29" customFormat="false" ht="15" hidden="false" customHeight="false" outlineLevel="0" collapsed="false">
      <c r="B29" s="3" t="s">
        <v>174</v>
      </c>
      <c r="C29" s="19" t="n">
        <f aca="false">Model!I30</f>
        <v>38513403.2963946</v>
      </c>
    </row>
    <row r="30" customFormat="false" ht="15" hidden="false" customHeight="false" outlineLevel="0" collapsed="false">
      <c r="B30" s="3" t="s">
        <v>175</v>
      </c>
      <c r="C30" s="19" t="n">
        <f aca="false">MAX(Model!C60:AG60)</f>
        <v>25000000</v>
      </c>
    </row>
    <row r="31" customFormat="false" ht="15" hidden="false" customHeight="false" outlineLevel="0" collapsed="false">
      <c r="B31" s="3" t="s">
        <v>176</v>
      </c>
      <c r="C31" s="12" t="n">
        <f aca="false">MIN(Model!C81:AG81)</f>
        <v>1</v>
      </c>
    </row>
    <row r="33" customFormat="false" ht="15" hidden="false" customHeight="false" outlineLevel="0" collapsed="false">
      <c r="B33" s="8" t="s">
        <v>177</v>
      </c>
    </row>
    <row r="34" customFormat="false" ht="15" hidden="false" customHeight="false" outlineLevel="0" collapsed="false">
      <c r="B34" s="3" t="s">
        <v>178</v>
      </c>
      <c r="C34" s="10" t="n">
        <f aca="false">-CapTable!H6</f>
        <v>-7139200</v>
      </c>
      <c r="D34" s="10" t="n">
        <f aca="false">CapTable!$F6*(Returns!D10-Returns!D7)+CapTable!$F6*Returns!D7</f>
        <v>-1143079.88544</v>
      </c>
      <c r="E34" s="10" t="n">
        <f aca="false">CapTable!$F6*(Returns!E10-Returns!E7)+CapTable!$F6*Returns!E7</f>
        <v>-927097.717870345</v>
      </c>
      <c r="F34" s="10" t="n">
        <f aca="false">CapTable!$F6*(Returns!F10-Returns!F7)+CapTable!$F6*Returns!F7</f>
        <v>414011.588828718</v>
      </c>
      <c r="G34" s="10" t="n">
        <f aca="false">CapTable!$F6*(Returns!G10-Returns!G7)+CapTable!$F6*Returns!G7</f>
        <v>2560840.85844868</v>
      </c>
      <c r="H34" s="10" t="n">
        <f aca="false">CapTable!$F6*(Returns!H10-Returns!H7)+CapTable!$F6*Returns!H7</f>
        <v>2742605.08393618</v>
      </c>
      <c r="I34" s="10" t="n">
        <f aca="false">CapTable!$F6*(Returns!I10-Returns!I7)+CapTable!$F6*Returns!I7</f>
        <v>2867764.7387425</v>
      </c>
      <c r="J34" s="10" t="n">
        <f aca="false">CapTable!$F6*(Returns!J10-Returns!J7)+CapTable!$F6*Returns!J7</f>
        <v>2994796.11164938</v>
      </c>
      <c r="K34" s="10" t="n">
        <f aca="false">CapTable!$F6*(Returns!K10-Returns!K7)+CapTable!$F6*Returns!K7</f>
        <v>3129699.14486916</v>
      </c>
      <c r="L34" s="10" t="n">
        <f aca="false">CapTable!$F6*(Returns!L10-Returns!L7)+CapTable!$F6*Returns!L7</f>
        <v>3269821.83576812</v>
      </c>
      <c r="M34" s="10" t="n">
        <f aca="false">CapTable!$F6*(Returns!M10-Returns!M7)+CapTable!$F6*Returns!M7</f>
        <v>3412381.80300725</v>
      </c>
      <c r="N34" s="10" t="n">
        <f aca="false">CapTable!$F6*(Returns!N10-Returns!N7)+CapTable!$F6*Returns!N7</f>
        <v>3563710.01073824</v>
      </c>
      <c r="O34" s="10" t="n">
        <f aca="false">CapTable!$F6*(Returns!O10-Returns!O7)+CapTable!$F6*Returns!O7</f>
        <v>3721055.16102203</v>
      </c>
      <c r="P34" s="10" t="n">
        <f aca="false">CapTable!$F6*(Returns!P10-Returns!P7)+CapTable!$F6*Returns!P7</f>
        <v>10227882.2350647</v>
      </c>
      <c r="Q34" s="10" t="n">
        <f aca="false">CapTable!$F6*(Returns!Q10-Returns!Q7)+CapTable!$F6*Returns!Q7</f>
        <v>5429137.30464097</v>
      </c>
      <c r="R34" s="10" t="n">
        <f aca="false">CapTable!$F6*(Returns!R10-Returns!R7)+CapTable!$F6*Returns!R7</f>
        <v>5590397.93117722</v>
      </c>
      <c r="S34" s="10" t="n">
        <f aca="false">CapTable!$F6*(Returns!S10-Returns!S7)+CapTable!$F6*Returns!S7</f>
        <v>5752562.68711496</v>
      </c>
      <c r="T34" s="10" t="n">
        <f aca="false">CapTable!$F6*(Returns!T10-Returns!T7)+CapTable!$F6*Returns!T7</f>
        <v>5923644.08580727</v>
      </c>
      <c r="U34" s="10" t="n">
        <f aca="false">CapTable!$F6*(Returns!U10-Returns!U7)+CapTable!$F6*Returns!U7</f>
        <v>6099857.92646035</v>
      </c>
      <c r="V34" s="10" t="n">
        <f aca="false">CapTable!$F6*(Returns!V10-Returns!V7)+CapTable!$F6*Returns!V7</f>
        <v>6277227.80846473</v>
      </c>
      <c r="W34" s="10" t="n">
        <f aca="false">CapTable!$F6*(Returns!W10-Returns!W7)+CapTable!$F6*Returns!W7</f>
        <v>6464173.07201357</v>
      </c>
      <c r="X34" s="10" t="n">
        <f aca="false">CapTable!$F6*(Returns!X10-Returns!X7)+CapTable!$F6*Returns!X7</f>
        <v>6656726.69346889</v>
      </c>
      <c r="Y34" s="10" t="n">
        <f aca="false">CapTable!$F6*(Returns!Y10-Returns!Y7)+CapTable!$F6*Returns!Y7</f>
        <v>6850720.03102123</v>
      </c>
      <c r="Z34" s="10" t="n">
        <f aca="false">CapTable!$F6*(Returns!Z10-Returns!Z7)+CapTable!$F6*Returns!Z7</f>
        <v>7055000.16802318</v>
      </c>
      <c r="AA34" s="10" t="n">
        <f aca="false">CapTable!$F6*(Returns!AA10-Returns!AA7)+CapTable!$F6*Returns!AA7</f>
        <v>7265408.70913518</v>
      </c>
      <c r="AB34" s="10" t="n">
        <f aca="false">CapTable!$F6*(Returns!AB10-Returns!AB7)+CapTable!$F6*Returns!AB7</f>
        <v>7477575.76928278</v>
      </c>
      <c r="AC34" s="10" t="n">
        <f aca="false">CapTable!$F6*(Returns!AC10-Returns!AC7)+CapTable!$F6*Returns!AC7</f>
        <v>7700798.1905485</v>
      </c>
      <c r="AD34" s="10" t="n">
        <f aca="false">CapTable!$F6*(Returns!AD10-Returns!AD7)+CapTable!$F6*Returns!AD7</f>
        <v>7930717.2844522</v>
      </c>
      <c r="AE34" s="10" t="n">
        <f aca="false">CapTable!$F6*(Returns!AE10-Returns!AE7)+CapTable!$F6*Returns!AE7</f>
        <v>8162752.52713676</v>
      </c>
      <c r="AF34" s="10" t="n">
        <f aca="false">CapTable!$F6*(Returns!AF10-Returns!AF7)+CapTable!$F6*Returns!AF7</f>
        <v>8406673.6938592</v>
      </c>
      <c r="AG34" s="10" t="n">
        <f aca="false">CapTable!$F6*(Returns!AG10-Returns!AG7)+CapTable!$F6*Returns!AG7</f>
        <v>9847712.4955833</v>
      </c>
    </row>
    <row r="35" customFormat="false" ht="15" hidden="false" customHeight="false" outlineLevel="0" collapsed="false">
      <c r="B35" s="3" t="s">
        <v>179</v>
      </c>
      <c r="C35" s="10" t="n">
        <f aca="false">-CapTable!H7</f>
        <v>-4759200</v>
      </c>
      <c r="D35" s="10" t="n">
        <f aca="false">CapTable!$F7*(Returns!D10-Returns!D7)+CapTable!$F7*Returns!D7</f>
        <v>-731501.95392</v>
      </c>
      <c r="E35" s="10" t="n">
        <f aca="false">CapTable!$F7*(Returns!E10-Returns!E7)+CapTable!$F7*Returns!E7</f>
        <v>-593286.43670069</v>
      </c>
      <c r="F35" s="10" t="n">
        <f aca="false">CapTable!$F7*(Returns!F10-Returns!F7)+CapTable!$F7*Returns!F7</f>
        <v>264942.363199013</v>
      </c>
      <c r="G35" s="10" t="n">
        <f aca="false">CapTable!$F7*(Returns!G10-Returns!G7)+CapTable!$F7*Returns!G7</f>
        <v>1638783.1817304</v>
      </c>
      <c r="H35" s="10" t="n">
        <f aca="false">CapTable!$F7*(Returns!H10-Returns!H7)+CapTable!$F7*Returns!H7</f>
        <v>1755101.28669441</v>
      </c>
      <c r="I35" s="10" t="n">
        <f aca="false">CapTable!$F7*(Returns!I10-Returns!I7)+CapTable!$F7*Returns!I7</f>
        <v>1835195.89181252</v>
      </c>
      <c r="J35" s="10" t="n">
        <f aca="false">CapTable!$F7*(Returns!J10-Returns!J7)+CapTable!$F7*Returns!J7</f>
        <v>1916488.28324915</v>
      </c>
      <c r="K35" s="10" t="n">
        <f aca="false">CapTable!$F7*(Returns!K10-Returns!K7)+CapTable!$F7*Returns!K7</f>
        <v>2002818.06093745</v>
      </c>
      <c r="L35" s="10" t="n">
        <f aca="false">CapTable!$F7*(Returns!L10-Returns!L7)+CapTable!$F7*Returns!L7</f>
        <v>2092488.10367612</v>
      </c>
      <c r="M35" s="10" t="n">
        <f aca="false">CapTable!$F7*(Returns!M10-Returns!M7)+CapTable!$F7*Returns!M7</f>
        <v>2183717.85578225</v>
      </c>
      <c r="N35" s="10" t="n">
        <f aca="false">CapTable!$F7*(Returns!N10-Returns!N7)+CapTable!$F7*Returns!N7</f>
        <v>2280558.7511986</v>
      </c>
      <c r="O35" s="10" t="n">
        <f aca="false">CapTable!$F7*(Returns!O10-Returns!O7)+CapTable!$F7*Returns!O7</f>
        <v>2381250.12573725</v>
      </c>
      <c r="P35" s="10" t="n">
        <f aca="false">CapTable!$F7*(Returns!P10-Returns!P7)+CapTable!$F7*Returns!P7</f>
        <v>6545225.69656942</v>
      </c>
      <c r="Q35" s="10" t="n">
        <f aca="false">CapTable!$F7*(Returns!Q10-Returns!Q7)+CapTable!$F7*Returns!Q7</f>
        <v>3474319.33413484</v>
      </c>
      <c r="R35" s="10" t="n">
        <f aca="false">CapTable!$F7*(Returns!R10-Returns!R7)+CapTable!$F7*Returns!R7</f>
        <v>3577516.37653247</v>
      </c>
      <c r="S35" s="10" t="n">
        <f aca="false">CapTable!$F7*(Returns!S10-Returns!S7)+CapTable!$F7*Returns!S7</f>
        <v>3681292.00703423</v>
      </c>
      <c r="T35" s="10" t="n">
        <f aca="false">CapTable!$F7*(Returns!T10-Returns!T7)+CapTable!$F7*Returns!T7</f>
        <v>3790773.74931388</v>
      </c>
      <c r="U35" s="10" t="n">
        <f aca="false">CapTable!$F7*(Returns!U10-Returns!U7)+CapTable!$F7*Returns!U7</f>
        <v>3903539.94386192</v>
      </c>
      <c r="V35" s="10" t="n">
        <f aca="false">CapTable!$F7*(Returns!V10-Returns!V7)+CapTable!$F7*Returns!V7</f>
        <v>4017045.93491767</v>
      </c>
      <c r="W35" s="10" t="n">
        <f aca="false">CapTable!$F7*(Returns!W10-Returns!W7)+CapTable!$F7*Returns!W7</f>
        <v>4136679.59071368</v>
      </c>
      <c r="X35" s="10" t="n">
        <f aca="false">CapTable!$F7*(Returns!X10-Returns!X7)+CapTable!$F7*Returns!X7</f>
        <v>4259902.25618357</v>
      </c>
      <c r="Y35" s="10" t="n">
        <f aca="false">CapTable!$F7*(Returns!Y10-Returns!Y7)+CapTable!$F7*Returns!Y7</f>
        <v>4384046.25283204</v>
      </c>
      <c r="Z35" s="10" t="n">
        <f aca="false">CapTable!$F7*(Returns!Z10-Returns!Z7)+CapTable!$F7*Returns!Z7</f>
        <v>4514773.17862905</v>
      </c>
      <c r="AA35" s="10" t="n">
        <f aca="false">CapTable!$F7*(Returns!AA10-Returns!AA7)+CapTable!$F7*Returns!AA7</f>
        <v>4649421.91219997</v>
      </c>
      <c r="AB35" s="10" t="n">
        <f aca="false">CapTable!$F7*(Returns!AB10-Returns!AB7)+CapTable!$F7*Returns!AB7</f>
        <v>4785195.991538</v>
      </c>
      <c r="AC35" s="10" t="n">
        <f aca="false">CapTable!$F7*(Returns!AC10-Returns!AC7)+CapTable!$F7*Returns!AC7</f>
        <v>4928044.83298339</v>
      </c>
      <c r="AD35" s="10" t="n">
        <f aca="false">CapTable!$F7*(Returns!AD10-Returns!AD7)+CapTable!$F7*Returns!AD7</f>
        <v>5075179.13967213</v>
      </c>
      <c r="AE35" s="10" t="n">
        <f aca="false">CapTable!$F7*(Returns!AE10-Returns!AE7)+CapTable!$F7*Returns!AE7</f>
        <v>5223667.65352323</v>
      </c>
      <c r="AF35" s="10" t="n">
        <f aca="false">CapTable!$F7*(Returns!AF10-Returns!AF7)+CapTable!$F7*Returns!AF7</f>
        <v>5379762.43948932</v>
      </c>
      <c r="AG35" s="10" t="n">
        <f aca="false">CapTable!$F7*(Returns!AG10-Returns!AG7)+CapTable!$F7*Returns!AG7</f>
        <v>6301940.0690344</v>
      </c>
    </row>
    <row r="36" customFormat="false" ht="15" hidden="false" customHeight="false" outlineLevel="0" collapsed="false">
      <c r="B36" s="3" t="s">
        <v>180</v>
      </c>
      <c r="C36" s="10" t="n">
        <f aca="false">-CapTable!H8</f>
        <v>-4759200</v>
      </c>
      <c r="D36" s="10" t="n">
        <f aca="false">CapTable!$F8*(Returns!D10-Returns!D7)+CapTable!$F8*Returns!D7</f>
        <v>-731501.95392</v>
      </c>
      <c r="E36" s="10" t="n">
        <f aca="false">CapTable!$F8*(Returns!E10-Returns!E7)+CapTable!$F8*Returns!E7</f>
        <v>-593286.43670069</v>
      </c>
      <c r="F36" s="10" t="n">
        <f aca="false">CapTable!$F8*(Returns!F10-Returns!F7)+CapTable!$F8*Returns!F7</f>
        <v>264942.363199013</v>
      </c>
      <c r="G36" s="10" t="n">
        <f aca="false">CapTable!$F8*(Returns!G10-Returns!G7)+CapTable!$F8*Returns!G7</f>
        <v>1638783.1817304</v>
      </c>
      <c r="H36" s="10" t="n">
        <f aca="false">CapTable!$F8*(Returns!H10-Returns!H7)+CapTable!$F8*Returns!H7</f>
        <v>1755101.28669441</v>
      </c>
      <c r="I36" s="10" t="n">
        <f aca="false">CapTable!$F8*(Returns!I10-Returns!I7)+CapTable!$F8*Returns!I7</f>
        <v>1835195.89181252</v>
      </c>
      <c r="J36" s="10" t="n">
        <f aca="false">CapTable!$F8*(Returns!J10-Returns!J7)+CapTable!$F8*Returns!J7</f>
        <v>1916488.28324915</v>
      </c>
      <c r="K36" s="10" t="n">
        <f aca="false">CapTable!$F8*(Returns!K10-Returns!K7)+CapTable!$F8*Returns!K7</f>
        <v>2002818.06093745</v>
      </c>
      <c r="L36" s="10" t="n">
        <f aca="false">CapTable!$F8*(Returns!L10-Returns!L7)+CapTable!$F8*Returns!L7</f>
        <v>2092488.10367612</v>
      </c>
      <c r="M36" s="10" t="n">
        <f aca="false">CapTable!$F8*(Returns!M10-Returns!M7)+CapTable!$F8*Returns!M7</f>
        <v>2183717.85578225</v>
      </c>
      <c r="N36" s="10" t="n">
        <f aca="false">CapTable!$F8*(Returns!N10-Returns!N7)+CapTable!$F8*Returns!N7</f>
        <v>2280558.7511986</v>
      </c>
      <c r="O36" s="10" t="n">
        <f aca="false">CapTable!$F8*(Returns!O10-Returns!O7)+CapTable!$F8*Returns!O7</f>
        <v>2381250.12573725</v>
      </c>
      <c r="P36" s="10" t="n">
        <f aca="false">CapTable!$F8*(Returns!P10-Returns!P7)+CapTable!$F8*Returns!P7</f>
        <v>6545225.69656942</v>
      </c>
      <c r="Q36" s="10" t="n">
        <f aca="false">CapTable!$F8*(Returns!Q10-Returns!Q7)+CapTable!$F8*Returns!Q7</f>
        <v>3474319.33413484</v>
      </c>
      <c r="R36" s="10" t="n">
        <f aca="false">CapTable!$F8*(Returns!R10-Returns!R7)+CapTable!$F8*Returns!R7</f>
        <v>3577516.37653247</v>
      </c>
      <c r="S36" s="10" t="n">
        <f aca="false">CapTable!$F8*(Returns!S10-Returns!S7)+CapTable!$F8*Returns!S7</f>
        <v>3681292.00703423</v>
      </c>
      <c r="T36" s="10" t="n">
        <f aca="false">CapTable!$F8*(Returns!T10-Returns!T7)+CapTable!$F8*Returns!T7</f>
        <v>3790773.74931388</v>
      </c>
      <c r="U36" s="10" t="n">
        <f aca="false">CapTable!$F8*(Returns!U10-Returns!U7)+CapTable!$F8*Returns!U7</f>
        <v>3903539.94386192</v>
      </c>
      <c r="V36" s="10" t="n">
        <f aca="false">CapTable!$F8*(Returns!V10-Returns!V7)+CapTable!$F8*Returns!V7</f>
        <v>4017045.93491767</v>
      </c>
      <c r="W36" s="10" t="n">
        <f aca="false">CapTable!$F8*(Returns!W10-Returns!W7)+CapTable!$F8*Returns!W7</f>
        <v>4136679.59071368</v>
      </c>
      <c r="X36" s="10" t="n">
        <f aca="false">CapTable!$F8*(Returns!X10-Returns!X7)+CapTable!$F8*Returns!X7</f>
        <v>4259902.25618357</v>
      </c>
      <c r="Y36" s="10" t="n">
        <f aca="false">CapTable!$F8*(Returns!Y10-Returns!Y7)+CapTable!$F8*Returns!Y7</f>
        <v>4384046.25283204</v>
      </c>
      <c r="Z36" s="10" t="n">
        <f aca="false">CapTable!$F8*(Returns!Z10-Returns!Z7)+CapTable!$F8*Returns!Z7</f>
        <v>4514773.17862905</v>
      </c>
      <c r="AA36" s="10" t="n">
        <f aca="false">CapTable!$F8*(Returns!AA10-Returns!AA7)+CapTable!$F8*Returns!AA7</f>
        <v>4649421.91219997</v>
      </c>
      <c r="AB36" s="10" t="n">
        <f aca="false">CapTable!$F8*(Returns!AB10-Returns!AB7)+CapTable!$F8*Returns!AB7</f>
        <v>4785195.991538</v>
      </c>
      <c r="AC36" s="10" t="n">
        <f aca="false">CapTable!$F8*(Returns!AC10-Returns!AC7)+CapTable!$F8*Returns!AC7</f>
        <v>4928044.83298339</v>
      </c>
      <c r="AD36" s="10" t="n">
        <f aca="false">CapTable!$F8*(Returns!AD10-Returns!AD7)+CapTable!$F8*Returns!AD7</f>
        <v>5075179.13967213</v>
      </c>
      <c r="AE36" s="10" t="n">
        <f aca="false">CapTable!$F8*(Returns!AE10-Returns!AE7)+CapTable!$F8*Returns!AE7</f>
        <v>5223667.65352323</v>
      </c>
      <c r="AF36" s="10" t="n">
        <f aca="false">CapTable!$F8*(Returns!AF10-Returns!AF7)+CapTable!$F8*Returns!AF7</f>
        <v>5379762.43948932</v>
      </c>
      <c r="AG36" s="10" t="n">
        <f aca="false">CapTable!$F8*(Returns!AG10-Returns!AG7)+CapTable!$F8*Returns!AG7</f>
        <v>6301940.0690344</v>
      </c>
    </row>
    <row r="37" customFormat="false" ht="15" hidden="false" customHeight="false" outlineLevel="0" collapsed="false">
      <c r="B37" s="3" t="s">
        <v>181</v>
      </c>
      <c r="C37" s="10" t="n">
        <f aca="false">-CapTable!H9</f>
        <v>-2184000</v>
      </c>
      <c r="D37" s="10" t="n">
        <f aca="false">CapTable!$F9*(Returns!D10-Returns!D7)+CapTable!$F9*Returns!D7</f>
        <v>-335487.89376</v>
      </c>
      <c r="E37" s="10" t="n">
        <f aca="false">CapTable!$F9*(Returns!E10-Returns!E7)+CapTable!$F9*Returns!E7</f>
        <v>-272098.271205517</v>
      </c>
      <c r="F37" s="10" t="n">
        <f aca="false">CapTable!$F9*(Returns!F10-Returns!F7)+CapTable!$F9*Returns!F7</f>
        <v>121510.209126734</v>
      </c>
      <c r="G37" s="10" t="n">
        <f aca="false">CapTable!$F9*(Returns!G10-Returns!G7)+CapTable!$F9*Returns!G7</f>
        <v>751593.232282973</v>
      </c>
      <c r="H37" s="10" t="n">
        <f aca="false">CapTable!$F9*(Returns!H10-Returns!H7)+CapTable!$F9*Returns!H7</f>
        <v>804940.070020603</v>
      </c>
      <c r="I37" s="10" t="n">
        <f aca="false">CapTable!$F9*(Returns!I10-Returns!I7)+CapTable!$F9*Returns!I7</f>
        <v>841673.765984938</v>
      </c>
      <c r="J37" s="10" t="n">
        <f aca="false">CapTable!$F9*(Returns!J10-Returns!J7)+CapTable!$F9*Returns!J7</f>
        <v>878956.801301028</v>
      </c>
      <c r="K37" s="10" t="n">
        <f aca="false">CapTable!$F9*(Returns!K10-Returns!K7)+CapTable!$F9*Returns!K7</f>
        <v>918550.127238452</v>
      </c>
      <c r="L37" s="10" t="n">
        <f aca="false">CapTable!$F9*(Returns!L10-Returns!L7)+CapTable!$F9*Returns!L7</f>
        <v>959675.395066589</v>
      </c>
      <c r="M37" s="10" t="n">
        <f aca="false">CapTable!$F9*(Returns!M10-Returns!M7)+CapTable!$F9*Returns!M7</f>
        <v>1001515.99059517</v>
      </c>
      <c r="N37" s="10" t="n">
        <f aca="false">CapTable!$F9*(Returns!N10-Returns!N7)+CapTable!$F9*Returns!N7</f>
        <v>1045930.01828021</v>
      </c>
      <c r="O37" s="10" t="n">
        <f aca="false">CapTable!$F9*(Returns!O10-Returns!O7)+CapTable!$F9*Returns!O7</f>
        <v>1092109.98674474</v>
      </c>
      <c r="P37" s="10" t="n">
        <f aca="false">CapTable!$F9*(Returns!P10-Returns!P7)+CapTable!$F9*Returns!P7</f>
        <v>3001829.2792777</v>
      </c>
      <c r="Q37" s="10" t="n">
        <f aca="false">CapTable!$F9*(Returns!Q10-Returns!Q7)+CapTable!$F9*Returns!Q7</f>
        <v>1593423.05158903</v>
      </c>
      <c r="R37" s="10" t="n">
        <f aca="false">CapTable!$F9*(Returns!R10-Returns!R7)+CapTable!$F9*Returns!R7</f>
        <v>1640752.19160118</v>
      </c>
      <c r="S37" s="10" t="n">
        <f aca="false">CapTable!$F9*(Returns!S10-Returns!S7)+CapTable!$F9*Returns!S7</f>
        <v>1688346.6888053</v>
      </c>
      <c r="T37" s="10" t="n">
        <f aca="false">CapTable!$F9*(Returns!T10-Returns!T7)+CapTable!$F9*Returns!T7</f>
        <v>1738558.17344419</v>
      </c>
      <c r="U37" s="10" t="n">
        <f aca="false">CapTable!$F9*(Returns!U10-Returns!U7)+CapTable!$F9*Returns!U7</f>
        <v>1790276.00262225</v>
      </c>
      <c r="V37" s="10" t="n">
        <f aca="false">CapTable!$F9*(Returns!V10-Returns!V7)+CapTable!$F9*Returns!V7</f>
        <v>1842333.12381567</v>
      </c>
      <c r="W37" s="10" t="n">
        <f aca="false">CapTable!$F9*(Returns!W10-Returns!W7)+CapTable!$F9*Returns!W7</f>
        <v>1897200.56879067</v>
      </c>
      <c r="X37" s="10" t="n">
        <f aca="false">CapTable!$F9*(Returns!X10-Returns!X7)+CapTable!$F9*Returns!X7</f>
        <v>1953714.03711492</v>
      </c>
      <c r="Y37" s="10" t="n">
        <f aca="false">CapTable!$F9*(Returns!Y10-Returns!Y7)+CapTable!$F9*Returns!Y7</f>
        <v>2010650.05449035</v>
      </c>
      <c r="Z37" s="10" t="n">
        <f aca="false">CapTable!$F9*(Returns!Z10-Returns!Z7)+CapTable!$F9*Returns!Z7</f>
        <v>2070605.19303555</v>
      </c>
      <c r="AA37" s="10" t="n">
        <f aca="false">CapTable!$F9*(Returns!AA10-Returns!AA7)+CapTable!$F9*Returns!AA7</f>
        <v>2132358.9857371</v>
      </c>
      <c r="AB37" s="10" t="n">
        <f aca="false">CapTable!$F9*(Returns!AB10-Returns!AB7)+CapTable!$F9*Returns!AB7</f>
        <v>2194628.89446423</v>
      </c>
      <c r="AC37" s="10" t="n">
        <f aca="false">CapTable!$F9*(Returns!AC10-Returns!AC7)+CapTable!$F9*Returns!AC7</f>
        <v>2260143.49314132</v>
      </c>
      <c r="AD37" s="10" t="n">
        <f aca="false">CapTable!$F9*(Returns!AD10-Returns!AD7)+CapTable!$F9*Returns!AD7</f>
        <v>2327623.52977871</v>
      </c>
      <c r="AE37" s="10" t="n">
        <f aca="false">CapTable!$F9*(Returns!AE10-Returns!AE7)+CapTable!$F9*Returns!AE7</f>
        <v>2395724.64487826</v>
      </c>
      <c r="AF37" s="10" t="n">
        <f aca="false">CapTable!$F9*(Returns!AF10-Returns!AF7)+CapTable!$F9*Returns!AF7</f>
        <v>2467314.21574687</v>
      </c>
      <c r="AG37" s="10" t="n">
        <f aca="false">CapTable!$F9*(Returns!AG10-Returns!AG7)+CapTable!$F9*Returns!AG7</f>
        <v>2890251.47374154</v>
      </c>
    </row>
    <row r="38" customFormat="false" ht="15" hidden="false" customHeight="false" outlineLevel="0" collapsed="false">
      <c r="B38" s="3" t="s">
        <v>182</v>
      </c>
      <c r="C38" s="10" t="n">
        <f aca="false">-CapTable!H10</f>
        <v>-336000</v>
      </c>
      <c r="D38" s="10" t="n">
        <f aca="false">CapTable!$F10*(Returns!D10-Returns!D7)+CapTable!$F10*Returns!D7</f>
        <v>-51879.5712</v>
      </c>
      <c r="E38" s="10" t="n">
        <f aca="false">CapTable!$F10*(Returns!E10-Returns!E7)+CapTable!$F10*Returns!E7</f>
        <v>-42077.0522482759</v>
      </c>
      <c r="F38" s="10" t="n">
        <f aca="false">CapTable!$F10*(Returns!F10-Returns!F7)+CapTable!$F10*Returns!F7</f>
        <v>18790.2385247527</v>
      </c>
      <c r="G38" s="10" t="n">
        <f aca="false">CapTable!$F10*(Returns!G10-Returns!G7)+CapTable!$F10*Returns!G7</f>
        <v>116225.757569532</v>
      </c>
      <c r="H38" s="10" t="n">
        <f aca="false">CapTable!$F10*(Returns!H10-Returns!H7)+CapTable!$F10*Returns!H7</f>
        <v>124475.268559887</v>
      </c>
      <c r="I38" s="10" t="n">
        <f aca="false">CapTable!$F10*(Returns!I10-Returns!I7)+CapTable!$F10*Returns!I7</f>
        <v>130155.73700798</v>
      </c>
      <c r="J38" s="10" t="n">
        <f aca="false">CapTable!$F10*(Returns!J10-Returns!J7)+CapTable!$F10*Returns!J7</f>
        <v>135921.154840365</v>
      </c>
      <c r="K38" s="10" t="n">
        <f aca="false">CapTable!$F10*(Returns!K10-Returns!K7)+CapTable!$F10*Returns!K7</f>
        <v>142043.834109039</v>
      </c>
      <c r="L38" s="10" t="n">
        <f aca="false">CapTable!$F10*(Returns!L10-Returns!L7)+CapTable!$F10*Returns!L7</f>
        <v>148403.411608235</v>
      </c>
      <c r="M38" s="10" t="n">
        <f aca="false">CapTable!$F10*(Returns!M10-Returns!M7)+CapTable!$F10*Returns!M7</f>
        <v>154873.606793067</v>
      </c>
      <c r="N38" s="10" t="n">
        <f aca="false">CapTable!$F10*(Returns!N10-Returns!N7)+CapTable!$F10*Returns!N7</f>
        <v>161741.755404156</v>
      </c>
      <c r="O38" s="10" t="n">
        <f aca="false">CapTable!$F10*(Returns!O10-Returns!O7)+CapTable!$F10*Returns!O7</f>
        <v>168882.987640939</v>
      </c>
      <c r="P38" s="10" t="n">
        <f aca="false">CapTable!$F10*(Returns!P10-Returns!P7)+CapTable!$F10*Returns!P7</f>
        <v>464200.404012016</v>
      </c>
      <c r="Q38" s="10" t="n">
        <f aca="false">CapTable!$F10*(Returns!Q10-Returns!Q7)+CapTable!$F10*Returns!Q7</f>
        <v>246405.626534386</v>
      </c>
      <c r="R38" s="10" t="n">
        <f aca="false">CapTable!$F10*(Returns!R10-Returns!R7)+CapTable!$F10*Returns!R7</f>
        <v>253724.565711523</v>
      </c>
      <c r="S38" s="10" t="n">
        <f aca="false">CapTable!$F10*(Returns!S10-Returns!S7)+CapTable!$F10*Returns!S7</f>
        <v>261084.539505974</v>
      </c>
      <c r="T38" s="10" t="n">
        <f aca="false">CapTable!$F10*(Returns!T10-Returns!T7)+CapTable!$F10*Returns!T7</f>
        <v>268849.202078999</v>
      </c>
      <c r="U38" s="10" t="n">
        <f aca="false">CapTable!$F10*(Returns!U10-Returns!U7)+CapTable!$F10*Returns!U7</f>
        <v>276846.804529214</v>
      </c>
      <c r="V38" s="10" t="n">
        <f aca="false">CapTable!$F10*(Returns!V10-Returns!V7)+CapTable!$F10*Returns!V7</f>
        <v>284896.874816856</v>
      </c>
      <c r="W38" s="10" t="n">
        <f aca="false">CapTable!$F10*(Returns!W10-Returns!W7)+CapTable!$F10*Returns!W7</f>
        <v>293381.531256289</v>
      </c>
      <c r="X38" s="10" t="n">
        <f aca="false">CapTable!$F10*(Returns!X10-Returns!X7)+CapTable!$F10*Returns!X7</f>
        <v>302120.727388906</v>
      </c>
      <c r="Y38" s="10" t="n">
        <f aca="false">CapTable!$F10*(Returns!Y10-Returns!Y7)+CapTable!$F10*Returns!Y7</f>
        <v>310925.266158301</v>
      </c>
      <c r="Z38" s="10" t="n">
        <f aca="false">CapTable!$F10*(Returns!Z10-Returns!Z7)+CapTable!$F10*Returns!Z7</f>
        <v>320196.679335394</v>
      </c>
      <c r="AA38" s="10" t="n">
        <f aca="false">CapTable!$F10*(Returns!AA10-Returns!AA7)+CapTable!$F10*Returns!AA7</f>
        <v>329746.234907799</v>
      </c>
      <c r="AB38" s="10" t="n">
        <f aca="false">CapTable!$F10*(Returns!AB10-Returns!AB7)+CapTable!$F10*Returns!AB7</f>
        <v>339375.602236737</v>
      </c>
      <c r="AC38" s="10" t="n">
        <f aca="false">CapTable!$F10*(Returns!AC10-Returns!AC7)+CapTable!$F10*Returns!AC7</f>
        <v>349506.725743502</v>
      </c>
      <c r="AD38" s="10" t="n">
        <f aca="false">CapTable!$F10*(Returns!AD10-Returns!AD7)+CapTable!$F10*Returns!AD7</f>
        <v>359941.78295547</v>
      </c>
      <c r="AE38" s="10" t="n">
        <f aca="false">CapTable!$F10*(Returns!AE10-Returns!AE7)+CapTable!$F10*Returns!AE7</f>
        <v>370472.883228597</v>
      </c>
      <c r="AF38" s="10" t="n">
        <f aca="false">CapTable!$F10*(Returns!AF10-Returns!AF7)+CapTable!$F10*Returns!AF7</f>
        <v>381543.435424774</v>
      </c>
      <c r="AG38" s="10" t="n">
        <f aca="false">CapTable!$F10*(Returns!AG10-Returns!AG7)+CapTable!$F10*Returns!AG7</f>
        <v>446946.104186837</v>
      </c>
    </row>
    <row r="39" customFormat="false" ht="15" hidden="false" customHeight="false" outlineLevel="0" collapsed="false">
      <c r="B39" s="3" t="s">
        <v>183</v>
      </c>
      <c r="C39" s="10" t="n">
        <f aca="false">-CapTable!H11</f>
        <v>-3600000</v>
      </c>
      <c r="D39" s="10" t="n">
        <f aca="false">CapTable!$F11*(Returns!D10-Returns!D7)+CapTable!$F11*Returns!D7</f>
        <v>-864659.52</v>
      </c>
      <c r="E39" s="10" t="n">
        <f aca="false">CapTable!$F11*(Returns!E10-Returns!E7)+CapTable!$F11*Returns!E7</f>
        <v>-701284.204137931</v>
      </c>
      <c r="F39" s="10" t="n">
        <f aca="false">CapTable!$F11*(Returns!F10-Returns!F7)+CapTable!$F11*Returns!F7</f>
        <v>313170.642079211</v>
      </c>
      <c r="G39" s="10" t="n">
        <f aca="false">CapTable!$F11*(Returns!G10-Returns!G7)+CapTable!$F11*Returns!G7</f>
        <v>1937095.9594922</v>
      </c>
      <c r="H39" s="10" t="n">
        <f aca="false">CapTable!$F11*(Returns!H10-Returns!H7)+CapTable!$F11*Returns!H7</f>
        <v>2074587.80933145</v>
      </c>
      <c r="I39" s="10" t="n">
        <f aca="false">CapTable!$F11*(Returns!I10-Returns!I7)+CapTable!$F11*Returns!I7</f>
        <v>2169262.28346634</v>
      </c>
      <c r="J39" s="10" t="n">
        <f aca="false">CapTable!$F11*(Returns!J10-Returns!J7)+CapTable!$F11*Returns!J7</f>
        <v>2265352.58067275</v>
      </c>
      <c r="K39" s="10" t="n">
        <f aca="false">CapTable!$F11*(Returns!K10-Returns!K7)+CapTable!$F11*Returns!K7</f>
        <v>2367397.23515065</v>
      </c>
      <c r="L39" s="10" t="n">
        <f aca="false">CapTable!$F11*(Returns!L10-Returns!L7)+CapTable!$F11*Returns!L7</f>
        <v>2473390.19347059</v>
      </c>
      <c r="M39" s="10" t="n">
        <f aca="false">CapTable!$F11*(Returns!M10-Returns!M7)+CapTable!$F11*Returns!M7</f>
        <v>2581226.77988446</v>
      </c>
      <c r="N39" s="10" t="n">
        <f aca="false">CapTable!$F11*(Returns!N10-Returns!N7)+CapTable!$F11*Returns!N7</f>
        <v>2695695.92340261</v>
      </c>
      <c r="O39" s="10" t="n">
        <f aca="false">CapTable!$F11*(Returns!O10-Returns!O7)+CapTable!$F11*Returns!O7</f>
        <v>2814716.46068232</v>
      </c>
      <c r="P39" s="10" t="n">
        <f aca="false">CapTable!$F11*(Returns!P10-Returns!P7)+CapTable!$F11*Returns!P7</f>
        <v>7736673.40020026</v>
      </c>
      <c r="Q39" s="10" t="n">
        <f aca="false">CapTable!$F11*(Returns!Q10-Returns!Q7)+CapTable!$F11*Returns!Q7</f>
        <v>4106760.44223976</v>
      </c>
      <c r="R39" s="10" t="n">
        <f aca="false">CapTable!$F11*(Returns!R10-Returns!R7)+CapTable!$F11*Returns!R7</f>
        <v>4228742.76185871</v>
      </c>
      <c r="S39" s="10" t="n">
        <f aca="false">CapTable!$F11*(Returns!S10-Returns!S7)+CapTable!$F11*Returns!S7</f>
        <v>4351408.99176623</v>
      </c>
      <c r="T39" s="10" t="n">
        <f aca="false">CapTable!$F11*(Returns!T10-Returns!T7)+CapTable!$F11*Returns!T7</f>
        <v>4480820.03464998</v>
      </c>
      <c r="U39" s="10" t="n">
        <f aca="false">CapTable!$F11*(Returns!U10-Returns!U7)+CapTable!$F11*Returns!U7</f>
        <v>4614113.40882023</v>
      </c>
      <c r="V39" s="10" t="n">
        <f aca="false">CapTable!$F11*(Returns!V10-Returns!V7)+CapTable!$F11*Returns!V7</f>
        <v>4748281.2469476</v>
      </c>
      <c r="W39" s="10" t="n">
        <f aca="false">CapTable!$F11*(Returns!W10-Returns!W7)+CapTable!$F11*Returns!W7</f>
        <v>4889692.18760482</v>
      </c>
      <c r="X39" s="10" t="n">
        <f aca="false">CapTable!$F11*(Returns!X10-Returns!X7)+CapTable!$F11*Returns!X7</f>
        <v>5035345.45648176</v>
      </c>
      <c r="Y39" s="10" t="n">
        <f aca="false">CapTable!$F11*(Returns!Y10-Returns!Y7)+CapTable!$F11*Returns!Y7</f>
        <v>5182087.76930501</v>
      </c>
      <c r="Z39" s="10" t="n">
        <f aca="false">CapTable!$F11*(Returns!Z10-Returns!Z7)+CapTable!$F11*Returns!Z7</f>
        <v>5336611.32225656</v>
      </c>
      <c r="AA39" s="10" t="n">
        <f aca="false">CapTable!$F11*(Returns!AA10-Returns!AA7)+CapTable!$F11*Returns!AA7</f>
        <v>5495770.58179666</v>
      </c>
      <c r="AB39" s="10" t="n">
        <f aca="false">CapTable!$F11*(Returns!AB10-Returns!AB7)+CapTable!$F11*Returns!AB7</f>
        <v>5656260.03727895</v>
      </c>
      <c r="AC39" s="10" t="n">
        <f aca="false">CapTable!$F11*(Returns!AC10-Returns!AC7)+CapTable!$F11*Returns!AC7</f>
        <v>5825112.09572504</v>
      </c>
      <c r="AD39" s="10" t="n">
        <f aca="false">CapTable!$F11*(Returns!AD10-Returns!AD7)+CapTable!$F11*Returns!AD7</f>
        <v>5999029.71592451</v>
      </c>
      <c r="AE39" s="10" t="n">
        <f aca="false">CapTable!$F11*(Returns!AE10-Returns!AE7)+CapTable!$F11*Returns!AE7</f>
        <v>6174548.05380996</v>
      </c>
      <c r="AF39" s="10" t="n">
        <f aca="false">CapTable!$F11*(Returns!AF10-Returns!AF7)+CapTable!$F11*Returns!AF7</f>
        <v>6359057.25707957</v>
      </c>
      <c r="AG39" s="10" t="n">
        <f aca="false">CapTable!$F11*(Returns!AG10-Returns!AG7)+CapTable!$F11*Returns!AG7</f>
        <v>7449101.73644728</v>
      </c>
    </row>
    <row r="40" customFormat="false" ht="15" hidden="false" customHeight="false" outlineLevel="0" collapsed="false">
      <c r="B40" s="3" t="s">
        <v>184</v>
      </c>
      <c r="C40" s="10" t="n">
        <f aca="false">-CapTable!H12</f>
        <v>-3600000</v>
      </c>
      <c r="D40" s="10" t="n">
        <f aca="false">CapTable!$F12*(Returns!D10-Returns!D7)+CapTable!$F12*Returns!D7</f>
        <v>-864659.52</v>
      </c>
      <c r="E40" s="10" t="n">
        <f aca="false">CapTable!$F12*(Returns!E10-Returns!E7)+CapTable!$F12*Returns!E7</f>
        <v>-701284.204137931</v>
      </c>
      <c r="F40" s="10" t="n">
        <f aca="false">CapTable!$F12*(Returns!F10-Returns!F7)+CapTable!$F12*Returns!F7</f>
        <v>313170.642079211</v>
      </c>
      <c r="G40" s="10" t="n">
        <f aca="false">CapTable!$F12*(Returns!G10-Returns!G7)+CapTable!$F12*Returns!G7</f>
        <v>1937095.9594922</v>
      </c>
      <c r="H40" s="10" t="n">
        <f aca="false">CapTable!$F12*(Returns!H10-Returns!H7)+CapTable!$F12*Returns!H7</f>
        <v>2074587.80933145</v>
      </c>
      <c r="I40" s="10" t="n">
        <f aca="false">CapTable!$F12*(Returns!I10-Returns!I7)+CapTable!$F12*Returns!I7</f>
        <v>2169262.28346634</v>
      </c>
      <c r="J40" s="10" t="n">
        <f aca="false">CapTable!$F12*(Returns!J10-Returns!J7)+CapTable!$F12*Returns!J7</f>
        <v>2265352.58067275</v>
      </c>
      <c r="K40" s="10" t="n">
        <f aca="false">CapTable!$F12*(Returns!K10-Returns!K7)+CapTable!$F12*Returns!K7</f>
        <v>2367397.23515065</v>
      </c>
      <c r="L40" s="10" t="n">
        <f aca="false">CapTable!$F12*(Returns!L10-Returns!L7)+CapTable!$F12*Returns!L7</f>
        <v>2473390.19347059</v>
      </c>
      <c r="M40" s="10" t="n">
        <f aca="false">CapTable!$F12*(Returns!M10-Returns!M7)+CapTable!$F12*Returns!M7</f>
        <v>2581226.77988446</v>
      </c>
      <c r="N40" s="10" t="n">
        <f aca="false">CapTable!$F12*(Returns!N10-Returns!N7)+CapTable!$F12*Returns!N7</f>
        <v>2695695.92340261</v>
      </c>
      <c r="O40" s="10" t="n">
        <f aca="false">CapTable!$F12*(Returns!O10-Returns!O7)+CapTable!$F12*Returns!O7</f>
        <v>2814716.46068232</v>
      </c>
      <c r="P40" s="10" t="n">
        <f aca="false">CapTable!$F12*(Returns!P10-Returns!P7)+CapTable!$F12*Returns!P7</f>
        <v>7736673.40020026</v>
      </c>
      <c r="Q40" s="10" t="n">
        <f aca="false">CapTable!$F12*(Returns!Q10-Returns!Q7)+CapTable!$F12*Returns!Q7</f>
        <v>4106760.44223976</v>
      </c>
      <c r="R40" s="10" t="n">
        <f aca="false">CapTable!$F12*(Returns!R10-Returns!R7)+CapTable!$F12*Returns!R7</f>
        <v>4228742.76185871</v>
      </c>
      <c r="S40" s="10" t="n">
        <f aca="false">CapTable!$F12*(Returns!S10-Returns!S7)+CapTable!$F12*Returns!S7</f>
        <v>4351408.99176623</v>
      </c>
      <c r="T40" s="10" t="n">
        <f aca="false">CapTable!$F12*(Returns!T10-Returns!T7)+CapTable!$F12*Returns!T7</f>
        <v>4480820.03464998</v>
      </c>
      <c r="U40" s="10" t="n">
        <f aca="false">CapTable!$F12*(Returns!U10-Returns!U7)+CapTable!$F12*Returns!U7</f>
        <v>4614113.40882023</v>
      </c>
      <c r="V40" s="10" t="n">
        <f aca="false">CapTable!$F12*(Returns!V10-Returns!V7)+CapTable!$F12*Returns!V7</f>
        <v>4748281.2469476</v>
      </c>
      <c r="W40" s="10" t="n">
        <f aca="false">CapTable!$F12*(Returns!W10-Returns!W7)+CapTable!$F12*Returns!W7</f>
        <v>4889692.18760482</v>
      </c>
      <c r="X40" s="10" t="n">
        <f aca="false">CapTable!$F12*(Returns!X10-Returns!X7)+CapTable!$F12*Returns!X7</f>
        <v>5035345.45648176</v>
      </c>
      <c r="Y40" s="10" t="n">
        <f aca="false">CapTable!$F12*(Returns!Y10-Returns!Y7)+CapTable!$F12*Returns!Y7</f>
        <v>5182087.76930501</v>
      </c>
      <c r="Z40" s="10" t="n">
        <f aca="false">CapTable!$F12*(Returns!Z10-Returns!Z7)+CapTable!$F12*Returns!Z7</f>
        <v>5336611.32225656</v>
      </c>
      <c r="AA40" s="10" t="n">
        <f aca="false">CapTable!$F12*(Returns!AA10-Returns!AA7)+CapTable!$F12*Returns!AA7</f>
        <v>5495770.58179666</v>
      </c>
      <c r="AB40" s="10" t="n">
        <f aca="false">CapTable!$F12*(Returns!AB10-Returns!AB7)+CapTable!$F12*Returns!AB7</f>
        <v>5656260.03727895</v>
      </c>
      <c r="AC40" s="10" t="n">
        <f aca="false">CapTable!$F12*(Returns!AC10-Returns!AC7)+CapTable!$F12*Returns!AC7</f>
        <v>5825112.09572504</v>
      </c>
      <c r="AD40" s="10" t="n">
        <f aca="false">CapTable!$F12*(Returns!AD10-Returns!AD7)+CapTable!$F12*Returns!AD7</f>
        <v>5999029.71592451</v>
      </c>
      <c r="AE40" s="10" t="n">
        <f aca="false">CapTable!$F12*(Returns!AE10-Returns!AE7)+CapTable!$F12*Returns!AE7</f>
        <v>6174548.05380996</v>
      </c>
      <c r="AF40" s="10" t="n">
        <f aca="false">CapTable!$F12*(Returns!AF10-Returns!AF7)+CapTable!$F12*Returns!AF7</f>
        <v>6359057.25707957</v>
      </c>
      <c r="AG40" s="10" t="n">
        <f aca="false">CapTable!$F12*(Returns!AG10-Returns!AG7)+CapTable!$F12*Returns!AG7</f>
        <v>7449101.73644728</v>
      </c>
    </row>
    <row r="41" customFormat="false" ht="15" hidden="false" customHeight="false" outlineLevel="0" collapsed="false">
      <c r="B41" s="3" t="s">
        <v>185</v>
      </c>
      <c r="C41" s="10" t="n">
        <f aca="false">-CapTable!H13</f>
        <v>-6620000</v>
      </c>
      <c r="D41" s="10" t="n">
        <f aca="false">CapTable!$F13*(Returns!D10-Returns!D7)+CapTable!$F13*Returns!D7</f>
        <v>-1041050.06208</v>
      </c>
      <c r="E41" s="10" t="n">
        <f aca="false">CapTable!$F13*(Returns!E10-Returns!E7)+CapTable!$F13*Returns!E7</f>
        <v>-844346.181782069</v>
      </c>
      <c r="F41" s="10" t="n">
        <f aca="false">CapTable!$F13*(Returns!F10-Returns!F7)+CapTable!$F13*Returns!F7</f>
        <v>377057.45306337</v>
      </c>
      <c r="G41" s="10" t="n">
        <f aca="false">CapTable!$F13*(Returns!G10-Returns!G7)+CapTable!$F13*Returns!G7</f>
        <v>2332263.53522861</v>
      </c>
      <c r="H41" s="10" t="n">
        <f aca="false">CapTable!$F13*(Returns!H10-Returns!H7)+CapTable!$F13*Returns!H7</f>
        <v>2497803.72243507</v>
      </c>
      <c r="I41" s="10" t="n">
        <f aca="false">CapTable!$F13*(Returns!I10-Returns!I7)+CapTable!$F13*Returns!I7</f>
        <v>2611791.78929347</v>
      </c>
      <c r="J41" s="10" t="n">
        <f aca="false">CapTable!$F13*(Returns!J10-Returns!J7)+CapTable!$F13*Returns!J7</f>
        <v>2727484.50712999</v>
      </c>
      <c r="K41" s="10" t="n">
        <f aca="false">CapTable!$F13*(Returns!K10-Returns!K7)+CapTable!$F13*Returns!K7</f>
        <v>2850346.27112138</v>
      </c>
      <c r="L41" s="10" t="n">
        <f aca="false">CapTable!$F13*(Returns!L10-Returns!L7)+CapTable!$F13*Returns!L7</f>
        <v>2977961.79293859</v>
      </c>
      <c r="M41" s="10" t="n">
        <f aca="false">CapTable!$F13*(Returns!M10-Returns!M7)+CapTable!$F13*Returns!M7</f>
        <v>3107797.04298088</v>
      </c>
      <c r="N41" s="10" t="n">
        <f aca="false">CapTable!$F13*(Returns!N10-Returns!N7)+CapTable!$F13*Returns!N7</f>
        <v>3245617.89177674</v>
      </c>
      <c r="O41" s="10" t="n">
        <f aca="false">CapTable!$F13*(Returns!O10-Returns!O7)+CapTable!$F13*Returns!O7</f>
        <v>3388918.61866152</v>
      </c>
      <c r="P41" s="10" t="n">
        <f aca="false">CapTable!$F13*(Returns!P10-Returns!P7)+CapTable!$F13*Returns!P7</f>
        <v>9314954.77384112</v>
      </c>
      <c r="Q41" s="10" t="n">
        <f aca="false">CapTable!$F13*(Returns!Q10-Returns!Q7)+CapTable!$F13*Returns!Q7</f>
        <v>4944539.57245668</v>
      </c>
      <c r="R41" s="10" t="n">
        <f aca="false">CapTable!$F13*(Returns!R10-Returns!R7)+CapTable!$F13*Returns!R7</f>
        <v>5091406.28527789</v>
      </c>
      <c r="S41" s="10" t="n">
        <f aca="false">CapTable!$F13*(Returns!S10-Returns!S7)+CapTable!$F13*Returns!S7</f>
        <v>5239096.42608654</v>
      </c>
      <c r="T41" s="10" t="n">
        <f aca="false">CapTable!$F13*(Returns!T10-Returns!T7)+CapTable!$F13*Returns!T7</f>
        <v>5394907.32171857</v>
      </c>
      <c r="U41" s="10" t="n">
        <f aca="false">CapTable!$F13*(Returns!U10-Returns!U7)+CapTable!$F13*Returns!U7</f>
        <v>5555392.54421956</v>
      </c>
      <c r="V41" s="10" t="n">
        <f aca="false">CapTable!$F13*(Returns!V10-Returns!V7)+CapTable!$F13*Returns!V7</f>
        <v>5716930.62132491</v>
      </c>
      <c r="W41" s="10" t="n">
        <f aca="false">CapTable!$F13*(Returns!W10-Returns!W7)+CapTable!$F13*Returns!W7</f>
        <v>5887189.39387621</v>
      </c>
      <c r="X41" s="10" t="n">
        <f aca="false">CapTable!$F13*(Returns!X10-Returns!X7)+CapTable!$F13*Returns!X7</f>
        <v>6062555.92960405</v>
      </c>
      <c r="Y41" s="10" t="n">
        <f aca="false">CapTable!$F13*(Returns!Y10-Returns!Y7)+CapTable!$F13*Returns!Y7</f>
        <v>6239233.67424324</v>
      </c>
      <c r="Z41" s="10" t="n">
        <f aca="false">CapTable!$F13*(Returns!Z10-Returns!Z7)+CapTable!$F13*Returns!Z7</f>
        <v>6425280.0319969</v>
      </c>
      <c r="AA41" s="10" t="n">
        <f aca="false">CapTable!$F13*(Returns!AA10-Returns!AA7)+CapTable!$F13*Returns!AA7</f>
        <v>6616907.78048317</v>
      </c>
      <c r="AB41" s="10" t="n">
        <f aca="false">CapTable!$F13*(Returns!AB10-Returns!AB7)+CapTable!$F13*Returns!AB7</f>
        <v>6810137.08488386</v>
      </c>
      <c r="AC41" s="10" t="n">
        <f aca="false">CapTable!$F13*(Returns!AC10-Returns!AC7)+CapTable!$F13*Returns!AC7</f>
        <v>7013434.96325295</v>
      </c>
      <c r="AD41" s="10" t="n">
        <f aca="false">CapTable!$F13*(Returns!AD10-Returns!AD7)+CapTable!$F13*Returns!AD7</f>
        <v>7222831.77797311</v>
      </c>
      <c r="AE41" s="10" t="n">
        <f aca="false">CapTable!$F13*(Returns!AE10-Returns!AE7)+CapTable!$F13*Returns!AE7</f>
        <v>7434155.85678719</v>
      </c>
      <c r="AF41" s="10" t="n">
        <f aca="false">CapTable!$F13*(Returns!AF10-Returns!AF7)+CapTable!$F13*Returns!AF7</f>
        <v>7656304.93752381</v>
      </c>
      <c r="AG41" s="10" t="n">
        <f aca="false">CapTable!$F13*(Returns!AG10-Returns!AG7)+CapTable!$F13*Returns!AG7</f>
        <v>8968718.49068252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13" min="2" style="0" width="16"/>
    <col collapsed="false" customWidth="true" hidden="false" outlineLevel="0" max="39" min="14" style="0" width="13"/>
  </cols>
  <sheetData>
    <row r="2" customFormat="false" ht="17.35" hidden="false" customHeight="false" outlineLevel="0" collapsed="false">
      <c r="B2" s="1" t="s">
        <v>186</v>
      </c>
    </row>
    <row r="3" customFormat="false" ht="15" hidden="false" customHeight="false" outlineLevel="0" collapsed="false">
      <c r="B3" s="2" t="s">
        <v>187</v>
      </c>
    </row>
    <row r="5" customFormat="false" ht="42" hidden="false" customHeight="true" outlineLevel="0" collapsed="false">
      <c r="B5" s="23" t="s">
        <v>188</v>
      </c>
      <c r="C5" s="23" t="s">
        <v>189</v>
      </c>
      <c r="D5" s="23" t="s">
        <v>190</v>
      </c>
      <c r="E5" s="23" t="s">
        <v>191</v>
      </c>
      <c r="F5" s="23" t="s">
        <v>192</v>
      </c>
      <c r="G5" s="23" t="s">
        <v>193</v>
      </c>
      <c r="H5" s="23" t="s">
        <v>194</v>
      </c>
      <c r="I5" s="23" t="s">
        <v>195</v>
      </c>
      <c r="J5" s="23" t="s">
        <v>196</v>
      </c>
      <c r="K5" s="23" t="s">
        <v>197</v>
      </c>
      <c r="L5" s="23" t="s">
        <v>198</v>
      </c>
      <c r="M5" s="23" t="s">
        <v>199</v>
      </c>
    </row>
    <row r="6" customFormat="false" ht="15" hidden="false" customHeight="false" outlineLevel="0" collapsed="false">
      <c r="B6" s="3" t="s">
        <v>200</v>
      </c>
      <c r="C6" s="24" t="n">
        <v>0.1983</v>
      </c>
      <c r="D6" s="6" t="n">
        <v>0</v>
      </c>
      <c r="E6" s="6" t="n">
        <v>2380000</v>
      </c>
      <c r="F6" s="24" t="n">
        <v>0.1983</v>
      </c>
      <c r="G6" s="10" t="n">
        <f aca="false">Assumptions!$C$56*C6</f>
        <v>4759200</v>
      </c>
      <c r="H6" s="10" t="n">
        <f aca="false">G6+E6</f>
        <v>7139200</v>
      </c>
      <c r="I6" s="10" t="n">
        <f aca="false">Returns!$C$16*F6</f>
        <v>5766356.81660732</v>
      </c>
      <c r="J6" s="10" t="n">
        <f aca="false">H6+I6</f>
        <v>12905556.8166073</v>
      </c>
      <c r="K6" s="10" t="n">
        <f aca="false">(Returns!$C$19+Returns!$C$20)*F6</f>
        <v>161491834.163562</v>
      </c>
      <c r="L6" s="25" t="n">
        <f aca="false">IF(J6=0,0,K6/J6)</f>
        <v>12.5133565686797</v>
      </c>
      <c r="M6" s="18" t="n">
        <f aca="false">IFERROR(IRR(Returns!C34:AG34),0)</f>
        <v>0.227272455294606</v>
      </c>
    </row>
    <row r="7" customFormat="false" ht="15" hidden="false" customHeight="false" outlineLevel="0" collapsed="false">
      <c r="B7" s="3" t="s">
        <v>201</v>
      </c>
      <c r="C7" s="24" t="n">
        <v>0.1983</v>
      </c>
      <c r="D7" s="6" t="n">
        <v>2380000</v>
      </c>
      <c r="E7" s="6" t="n">
        <v>0</v>
      </c>
      <c r="F7" s="24" t="n">
        <v>0.1269</v>
      </c>
      <c r="G7" s="10" t="n">
        <f aca="false">Assumptions!$C$56*C7</f>
        <v>4759200</v>
      </c>
      <c r="H7" s="10" t="n">
        <f aca="false">G7+E7</f>
        <v>4759200</v>
      </c>
      <c r="I7" s="10" t="n">
        <f aca="false">Returns!$C$16*F7</f>
        <v>3690119.41516626</v>
      </c>
      <c r="J7" s="10" t="n">
        <f aca="false">H7+I7</f>
        <v>8449319.41516626</v>
      </c>
      <c r="K7" s="10" t="n">
        <f aca="false">(Returns!$C$19+Returns!$C$20)*F7</f>
        <v>103345001.287726</v>
      </c>
      <c r="L7" s="25" t="n">
        <f aca="false">IF(J7=0,0,K7/J7)</f>
        <v>12.2311627966419</v>
      </c>
      <c r="M7" s="18" t="n">
        <f aca="false">IFERROR(IRR(Returns!C35:AG35),0)</f>
        <v>0.222953426754777</v>
      </c>
    </row>
    <row r="8" customFormat="false" ht="15" hidden="false" customHeight="false" outlineLevel="0" collapsed="false">
      <c r="B8" s="3" t="s">
        <v>202</v>
      </c>
      <c r="C8" s="24" t="n">
        <v>0.1983</v>
      </c>
      <c r="D8" s="6" t="n">
        <v>2380000</v>
      </c>
      <c r="E8" s="6" t="n">
        <v>0</v>
      </c>
      <c r="F8" s="24" t="n">
        <v>0.1269</v>
      </c>
      <c r="G8" s="10" t="n">
        <f aca="false">Assumptions!$C$56*C8</f>
        <v>4759200</v>
      </c>
      <c r="H8" s="10" t="n">
        <f aca="false">G8+E8</f>
        <v>4759200</v>
      </c>
      <c r="I8" s="10" t="n">
        <f aca="false">Returns!$C$16*F8</f>
        <v>3690119.41516626</v>
      </c>
      <c r="J8" s="10" t="n">
        <f aca="false">H8+I8</f>
        <v>8449319.41516626</v>
      </c>
      <c r="K8" s="10" t="n">
        <f aca="false">(Returns!$C$19+Returns!$C$20)*F8</f>
        <v>103345001.287726</v>
      </c>
      <c r="L8" s="25" t="n">
        <f aca="false">IF(J8=0,0,K8/J8)</f>
        <v>12.2311627966419</v>
      </c>
      <c r="M8" s="18" t="n">
        <f aca="false">IFERROR(IRR(Returns!C36:AG36),0)</f>
        <v>0.222953426754777</v>
      </c>
    </row>
    <row r="9" customFormat="false" ht="15" hidden="false" customHeight="false" outlineLevel="0" collapsed="false">
      <c r="B9" s="3" t="s">
        <v>203</v>
      </c>
      <c r="C9" s="24" t="n">
        <v>0.091</v>
      </c>
      <c r="D9" s="6" t="n">
        <v>1090000</v>
      </c>
      <c r="E9" s="6" t="n">
        <v>0</v>
      </c>
      <c r="F9" s="24" t="n">
        <v>0.0582</v>
      </c>
      <c r="G9" s="10" t="n">
        <f aca="false">Assumptions!$C$56*C9</f>
        <v>2184000</v>
      </c>
      <c r="H9" s="10" t="n">
        <f aca="false">G9+E9</f>
        <v>2184000</v>
      </c>
      <c r="I9" s="10" t="n">
        <f aca="false">Returns!$C$16*F9</f>
        <v>1692395.19277129</v>
      </c>
      <c r="J9" s="10" t="n">
        <f aca="false">H9+I9</f>
        <v>3876395.19277129</v>
      </c>
      <c r="K9" s="10" t="n">
        <f aca="false">(Returns!$C$19+Returns!$C$20)*F9</f>
        <v>47396998.2265221</v>
      </c>
      <c r="L9" s="25" t="n">
        <f aca="false">IF(J9=0,0,K9/J9)</f>
        <v>12.2270810558501</v>
      </c>
      <c r="M9" s="18" t="n">
        <f aca="false">IFERROR(IRR(Returns!C37:AG37),0)</f>
        <v>0.222891093191729</v>
      </c>
    </row>
    <row r="10" customFormat="false" ht="15" hidden="false" customHeight="false" outlineLevel="0" collapsed="false">
      <c r="B10" s="3" t="s">
        <v>204</v>
      </c>
      <c r="C10" s="24" t="n">
        <v>0.014</v>
      </c>
      <c r="D10" s="6" t="n">
        <v>170000</v>
      </c>
      <c r="E10" s="6" t="n">
        <v>0</v>
      </c>
      <c r="F10" s="24" t="n">
        <v>0.009</v>
      </c>
      <c r="G10" s="10" t="n">
        <f aca="false">Assumptions!$C$56*C10</f>
        <v>336000</v>
      </c>
      <c r="H10" s="10" t="n">
        <f aca="false">G10+E10</f>
        <v>336000</v>
      </c>
      <c r="I10" s="10" t="n">
        <f aca="false">Returns!$C$16*F10</f>
        <v>261710.596820302</v>
      </c>
      <c r="J10" s="10" t="n">
        <f aca="false">H10+I10</f>
        <v>597710.596820302</v>
      </c>
      <c r="K10" s="10" t="n">
        <f aca="false">(Returns!$C$19+Returns!$C$20)*F10</f>
        <v>7329432.71544156</v>
      </c>
      <c r="L10" s="25" t="n">
        <f aca="false">IF(J10=0,0,K10/J10)</f>
        <v>12.2625109115225</v>
      </c>
      <c r="M10" s="18" t="n">
        <f aca="false">IFERROR(IRR(Returns!C38:AG38),0)</f>
        <v>0.223432279466064</v>
      </c>
    </row>
    <row r="11" customFormat="false" ht="15" hidden="false" customHeight="false" outlineLevel="0" collapsed="false">
      <c r="B11" s="3" t="s">
        <v>205</v>
      </c>
      <c r="C11" s="24" t="n">
        <v>0.15</v>
      </c>
      <c r="D11" s="6" t="n">
        <v>0</v>
      </c>
      <c r="E11" s="6" t="n">
        <v>0</v>
      </c>
      <c r="F11" s="24" t="n">
        <v>0.15</v>
      </c>
      <c r="G11" s="10" t="n">
        <f aca="false">Assumptions!$C$56*C11</f>
        <v>3600000</v>
      </c>
      <c r="H11" s="10" t="n">
        <f aca="false">G11+E11</f>
        <v>3600000</v>
      </c>
      <c r="I11" s="10" t="n">
        <f aca="false">Returns!$C$16*F11</f>
        <v>4361843.28033837</v>
      </c>
      <c r="J11" s="10" t="n">
        <f aca="false">H11+I11</f>
        <v>7961843.28033837</v>
      </c>
      <c r="K11" s="10" t="n">
        <f aca="false">(Returns!$C$19+Returns!$C$20)*F11</f>
        <v>122157211.924026</v>
      </c>
      <c r="L11" s="25" t="n">
        <f aca="false">IF(J11=0,0,K11/J11)</f>
        <v>15.3428305007825</v>
      </c>
      <c r="M11" s="18" t="n">
        <f aca="false">IFERROR(IRR(Returns!C39:AG39),0)</f>
        <v>0.27219068238963</v>
      </c>
    </row>
    <row r="12" customFormat="false" ht="15" hidden="false" customHeight="false" outlineLevel="0" collapsed="false">
      <c r="B12" s="3" t="s">
        <v>206</v>
      </c>
      <c r="C12" s="24" t="n">
        <v>0.15</v>
      </c>
      <c r="D12" s="6" t="n">
        <v>0</v>
      </c>
      <c r="E12" s="6" t="n">
        <v>0</v>
      </c>
      <c r="F12" s="24" t="n">
        <v>0.15</v>
      </c>
      <c r="G12" s="10" t="n">
        <f aca="false">Assumptions!$C$56*C12</f>
        <v>3600000</v>
      </c>
      <c r="H12" s="10" t="n">
        <f aca="false">G12+E12</f>
        <v>3600000</v>
      </c>
      <c r="I12" s="10" t="n">
        <f aca="false">Returns!$C$16*F12</f>
        <v>4361843.28033837</v>
      </c>
      <c r="J12" s="10" t="n">
        <f aca="false">H12+I12</f>
        <v>7961843.28033837</v>
      </c>
      <c r="K12" s="10" t="n">
        <f aca="false">(Returns!$C$19+Returns!$C$20)*F12</f>
        <v>122157211.924026</v>
      </c>
      <c r="L12" s="25" t="n">
        <f aca="false">IF(J12=0,0,K12/J12)</f>
        <v>15.3428305007825</v>
      </c>
      <c r="M12" s="18" t="n">
        <f aca="false">IFERROR(IRR(Returns!C40:AG40),0)</f>
        <v>0.27219068238963</v>
      </c>
    </row>
    <row r="13" customFormat="false" ht="15" hidden="false" customHeight="false" outlineLevel="0" collapsed="false">
      <c r="B13" s="3" t="s">
        <v>207</v>
      </c>
      <c r="C13" s="24" t="n">
        <v>0</v>
      </c>
      <c r="D13" s="6" t="n">
        <v>0</v>
      </c>
      <c r="E13" s="6" t="n">
        <v>6620000</v>
      </c>
      <c r="F13" s="24" t="n">
        <v>0.1806</v>
      </c>
      <c r="G13" s="10" t="n">
        <f aca="false">Assumptions!$C$56*C13</f>
        <v>0</v>
      </c>
      <c r="H13" s="10" t="n">
        <f aca="false">G13+E13</f>
        <v>6620000</v>
      </c>
      <c r="I13" s="10" t="n">
        <f aca="false">Returns!$C$16*F13</f>
        <v>5251659.30952739</v>
      </c>
      <c r="J13" s="10" t="n">
        <f aca="false">H13+I13</f>
        <v>11871659.3095274</v>
      </c>
      <c r="K13" s="10" t="n">
        <f aca="false">(Returns!$C$19+Returns!$C$20)*F13</f>
        <v>147077283.156527</v>
      </c>
      <c r="L13" s="25" t="n">
        <f aca="false">IF(J13=0,0,K13/J13)</f>
        <v>12.3889406966466</v>
      </c>
      <c r="M13" s="18" t="n">
        <f aca="false">IFERROR(IRR(Returns!C41:AG41),0)</f>
        <v>0.225365859318344</v>
      </c>
    </row>
    <row r="14" customFormat="false" ht="15" hidden="false" customHeight="false" outlineLevel="0" collapsed="false">
      <c r="B14" s="8" t="s">
        <v>31</v>
      </c>
      <c r="C14" s="26" t="n">
        <f aca="false">SUM(C6:C13)</f>
        <v>0.9999</v>
      </c>
      <c r="D14" s="19" t="n">
        <f aca="false">SUM(D6:D13)</f>
        <v>6020000</v>
      </c>
      <c r="E14" s="19" t="n">
        <f aca="false">SUM(E6:E13)</f>
        <v>9000000</v>
      </c>
      <c r="F14" s="26" t="n">
        <f aca="false">SUM(F6:F13)</f>
        <v>0.9999</v>
      </c>
      <c r="G14" s="19" t="n">
        <f aca="false">SUM(G6:G13)</f>
        <v>23997600</v>
      </c>
      <c r="H14" s="19" t="n">
        <f aca="false">SUM(H6:H13)</f>
        <v>32997600</v>
      </c>
      <c r="I14" s="19" t="n">
        <f aca="false">SUM(I6:I13)</f>
        <v>29076047.3067355</v>
      </c>
      <c r="J14" s="19" t="n">
        <f aca="false">SUM(J6:J13)</f>
        <v>62073647.3067355</v>
      </c>
      <c r="K14" s="19" t="n">
        <f aca="false">SUM(K6:K13)</f>
        <v>814299974.685557</v>
      </c>
      <c r="L14" s="21" t="n">
        <f aca="false">IF(J14=0,0,K14/J14)</f>
        <v>13.1182878728184</v>
      </c>
    </row>
    <row r="16" customFormat="false" ht="15" hidden="false" customHeight="false" outlineLevel="0" collapsed="false">
      <c r="B16" s="3" t="s">
        <v>208</v>
      </c>
      <c r="C16" s="27" t="n">
        <f aca="false">ROUND(F14,3)</f>
        <v>1</v>
      </c>
    </row>
    <row r="17" customFormat="false" ht="15" hidden="false" customHeight="false" outlineLevel="0" collapsed="false">
      <c r="B17" s="2" t="s">
        <v>209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0"/>
    <col collapsed="false" customWidth="true" hidden="false" outlineLevel="0" max="39" min="3" style="0" width="13"/>
  </cols>
  <sheetData>
    <row r="2" customFormat="false" ht="15" hidden="false" customHeight="false" outlineLevel="0" collapsed="false">
      <c r="B2" s="8" t="s">
        <v>210</v>
      </c>
    </row>
    <row r="3" customFormat="false" ht="15" hidden="false" customHeight="false" outlineLevel="0" collapsed="false">
      <c r="B3" s="3" t="s">
        <v>211</v>
      </c>
    </row>
    <row r="4" customFormat="false" ht="15" hidden="false" customHeight="false" outlineLevel="0" collapsed="false">
      <c r="B4" s="3" t="s">
        <v>212</v>
      </c>
    </row>
    <row r="5" customFormat="false" ht="15" hidden="false" customHeight="false" outlineLevel="0" collapsed="false">
      <c r="B5" s="3" t="s">
        <v>213</v>
      </c>
    </row>
    <row r="6" customFormat="false" ht="15" hidden="false" customHeight="false" outlineLevel="0" collapsed="false">
      <c r="B6" s="3" t="s">
        <v>214</v>
      </c>
    </row>
    <row r="7" customFormat="false" ht="15" hidden="false" customHeight="false" outlineLevel="0" collapsed="false">
      <c r="B7" s="3"/>
    </row>
    <row r="8" customFormat="false" ht="15" hidden="false" customHeight="false" outlineLevel="0" collapsed="false">
      <c r="B8" s="8" t="s">
        <v>215</v>
      </c>
    </row>
    <row r="9" customFormat="false" ht="15" hidden="false" customHeight="false" outlineLevel="0" collapsed="false">
      <c r="B9" s="3" t="s">
        <v>216</v>
      </c>
    </row>
    <row r="10" customFormat="false" ht="15" hidden="false" customHeight="false" outlineLevel="0" collapsed="false">
      <c r="B10" s="3" t="s">
        <v>217</v>
      </c>
    </row>
    <row r="11" customFormat="false" ht="15" hidden="false" customHeight="false" outlineLevel="0" collapsed="false">
      <c r="B11" s="3" t="s">
        <v>218</v>
      </c>
    </row>
    <row r="12" customFormat="false" ht="15" hidden="false" customHeight="false" outlineLevel="0" collapsed="false">
      <c r="B12" s="3" t="s">
        <v>219</v>
      </c>
    </row>
    <row r="13" customFormat="false" ht="15" hidden="false" customHeight="false" outlineLevel="0" collapsed="false">
      <c r="B13" s="3" t="s">
        <v>220</v>
      </c>
    </row>
    <row r="14" customFormat="false" ht="15" hidden="false" customHeight="false" outlineLevel="0" collapsed="false">
      <c r="B14" s="3" t="s">
        <v>221</v>
      </c>
    </row>
    <row r="15" customFormat="false" ht="15" hidden="false" customHeight="false" outlineLevel="0" collapsed="false">
      <c r="B15" s="3" t="s">
        <v>222</v>
      </c>
    </row>
    <row r="16" customFormat="false" ht="15" hidden="false" customHeight="false" outlineLevel="0" collapsed="false">
      <c r="B16" s="3" t="s">
        <v>223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8" t="s">
        <v>224</v>
      </c>
    </row>
    <row r="19" customFormat="false" ht="15" hidden="false" customHeight="false" outlineLevel="0" collapsed="false">
      <c r="B19" s="3" t="s">
        <v>225</v>
      </c>
    </row>
    <row r="20" customFormat="false" ht="15" hidden="false" customHeight="false" outlineLevel="0" collapsed="false">
      <c r="B20" s="3" t="s">
        <v>226</v>
      </c>
    </row>
    <row r="21" customFormat="false" ht="15" hidden="false" customHeight="false" outlineLevel="0" collapsed="false">
      <c r="B21" s="3" t="s">
        <v>227</v>
      </c>
    </row>
    <row r="22" customFormat="false" ht="15" hidden="false" customHeight="false" outlineLevel="0" collapsed="false">
      <c r="B22" s="3" t="s">
        <v>228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2026-10-09T06:01:27Z</dcterms:created>
  <dc:creator>openpyxl</dc:creator>
  <dc:description/>
  <dc:language>en-US</dc:language>
  <cp:lastModifiedBy/>
  <dcterms:modified xsi:type="dcterms:W3CDTF">2026-10-09T06:01:27Z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